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66925"/>
  <xr:revisionPtr revIDLastSave="2" documentId="8_{257E9484-066B-4EEB-AC8C-37F5B7DB5169}" xr6:coauthVersionLast="47" xr6:coauthVersionMax="47" xr10:uidLastSave="{90690533-3DD1-41E5-8D4B-E2B48E403793}"/>
  <bookViews>
    <workbookView xWindow="-108" yWindow="-108" windowWidth="23256" windowHeight="12576" tabRatio="837" activeTab="1" xr2:uid="{C8C3DD34-871E-4253-A51F-E0BE7C5357F9}"/>
  </bookViews>
  <sheets>
    <sheet name="Instructions" sheetId="12" r:id="rId1"/>
    <sheet name="PFU-P-C-O-090-02" sheetId="16" r:id="rId2"/>
    <sheet name="PFU-P-C-O-060-02" sheetId="3" r:id="rId3"/>
    <sheet name="PFU-P-C-O-060-01" sheetId="2" r:id="rId4"/>
    <sheet name="PFU-48-C-O-060-01" sheetId="10" r:id="rId5"/>
    <sheet name="PFU-12-C-O-060-01" sheetId="11" r:id="rId6"/>
    <sheet name="Powered Fiber Cable" sheetId="17" state="hidden" r:id="rId7"/>
  </sheets>
  <definedNames>
    <definedName name="PdCabling" localSheetId="5">'PFU-12-C-O-060-01'!$C$10</definedName>
    <definedName name="PdCabling" localSheetId="4">'PFU-48-C-O-060-01'!$C$10</definedName>
    <definedName name="PdCabling" localSheetId="3">'PFU-P-C-O-060-01'!$C$10</definedName>
    <definedName name="PdCabling" localSheetId="2">'PFU-P-C-O-060-02'!$C$10</definedName>
    <definedName name="PdCabling" localSheetId="1">'PFU-P-C-O-090-02'!$C$10</definedName>
    <definedName name="PdCabling" localSheetId="6">'Powered Fiber Cable'!#REF!</definedName>
    <definedName name="PdCabling">#REF!</definedName>
    <definedName name="PdClass" localSheetId="5">'PFU-12-C-O-060-01'!#REF!</definedName>
    <definedName name="PdClass" localSheetId="4">'PFU-48-C-O-060-01'!#REF!</definedName>
    <definedName name="PdClass" localSheetId="3">'PFU-P-C-O-060-01'!$C$7</definedName>
    <definedName name="PdClass" localSheetId="2">'PFU-P-C-O-060-02'!$C$7</definedName>
    <definedName name="PdClass" localSheetId="1">'PFU-P-C-O-090-02'!$C$7</definedName>
    <definedName name="PdClass" localSheetId="6">'Powered Fiber Cable'!#REF!</definedName>
    <definedName name="PdClass">#REF!</definedName>
    <definedName name="PdLength" localSheetId="5">'PFU-12-C-O-060-01'!$C$12</definedName>
    <definedName name="PdLength" localSheetId="4">'PFU-48-C-O-060-01'!$C$12</definedName>
    <definedName name="PdLength" localSheetId="3">'PFU-P-C-O-060-01'!$C$12</definedName>
    <definedName name="PdLength" localSheetId="2">'PFU-P-C-O-060-02'!$C$12</definedName>
    <definedName name="PdLength" localSheetId="1">'PFU-P-C-O-090-02'!$C$12</definedName>
    <definedName name="PdLength" localSheetId="6">'Powered Fiber Cable'!#REF!</definedName>
    <definedName name="PdLength">#REF!</definedName>
    <definedName name="PdTemp" localSheetId="5">'PFU-12-C-O-060-01'!$C$11</definedName>
    <definedName name="PdTemp" localSheetId="4">'PFU-48-C-O-060-01'!$C$11</definedName>
    <definedName name="PdTemp" localSheetId="3">'PFU-P-C-O-060-01'!$C$11</definedName>
    <definedName name="PdTemp" localSheetId="2">'PFU-P-C-O-060-02'!$C$11</definedName>
    <definedName name="PdTemp" localSheetId="1">'PFU-P-C-O-090-02'!$C$11</definedName>
    <definedName name="PdTemp" localSheetId="6">'Powered Fiber Cable'!#REF!</definedName>
    <definedName name="PdTemp">#REF!</definedName>
    <definedName name="Units" localSheetId="5">'PFU-12-C-O-060-01'!$A$6</definedName>
    <definedName name="Units" localSheetId="4">'PFU-48-C-O-060-01'!$A$6</definedName>
    <definedName name="Units" localSheetId="3">'PFU-P-C-O-060-01'!$A$6</definedName>
    <definedName name="Units" localSheetId="2">'PFU-P-C-O-060-02'!$A$6</definedName>
    <definedName name="Units" localSheetId="1">'PFU-P-C-O-090-02'!$A$6</definedName>
    <definedName name="Units" localSheetId="6">'Powered Fiber Cable'!$A$6</definedName>
    <definedName name="Units">#REF!</definedName>
    <definedName name="XXXXPdCabling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17" l="1"/>
  <c r="B31" i="17"/>
  <c r="G30" i="17"/>
  <c r="G33" i="17" s="1"/>
  <c r="G25" i="17" a="1"/>
  <c r="G25" i="17" s="1"/>
  <c r="F25" i="17" a="1"/>
  <c r="F25" i="17" s="1"/>
  <c r="H25" i="17" s="1"/>
  <c r="I25" i="17" s="1" a="1"/>
  <c r="I25" i="17" s="1"/>
  <c r="B8" i="17"/>
  <c r="B7" i="17"/>
  <c r="I6" i="17"/>
  <c r="I7" i="17" s="1"/>
  <c r="I8" i="17" s="1"/>
  <c r="I9" i="17" s="1"/>
  <c r="H6" i="17"/>
  <c r="G6" i="17" s="1"/>
  <c r="F6" i="17" a="1"/>
  <c r="F6" i="17" s="1"/>
  <c r="E6" i="17" a="1"/>
  <c r="E6" i="17" s="1"/>
  <c r="J6" i="17" s="1"/>
  <c r="C37" i="17" l="1"/>
  <c r="J25" i="17"/>
  <c r="C15" i="17"/>
  <c r="G7" i="17"/>
  <c r="F18" i="17"/>
  <c r="H7" i="17"/>
  <c r="H8" i="17" s="1"/>
  <c r="H9" i="17" s="1"/>
  <c r="G29" i="17"/>
  <c r="G35" i="17" s="1"/>
  <c r="G36" i="17" s="1"/>
  <c r="G10" i="17"/>
  <c r="C13" i="17" l="1"/>
  <c r="F19" i="17"/>
  <c r="C14" i="17" s="1"/>
  <c r="G32" i="17"/>
  <c r="C16" i="17"/>
  <c r="F13" i="17"/>
  <c r="F14" i="17"/>
  <c r="I37" i="17"/>
  <c r="J29" i="17"/>
  <c r="J30" i="17" s="1"/>
  <c r="H29" i="17"/>
  <c r="I29" i="17" s="1"/>
  <c r="H30" i="17"/>
  <c r="I30" i="17" s="1"/>
  <c r="G8" i="17"/>
  <c r="K29" i="17" l="1"/>
  <c r="C36" i="17" s="1"/>
  <c r="K30" i="17"/>
  <c r="C35" i="17" s="1"/>
  <c r="K37" i="17" s="1"/>
  <c r="J33" i="17"/>
  <c r="J35" i="17"/>
  <c r="J36" i="17" s="1"/>
  <c r="C17" i="17"/>
  <c r="G14" i="17"/>
  <c r="G13" i="17"/>
  <c r="H13" i="17" s="1"/>
  <c r="G9" i="17"/>
  <c r="C18" i="17" s="1"/>
  <c r="H33" i="17"/>
  <c r="I33" i="17" s="1"/>
  <c r="H35" i="17"/>
  <c r="H32" i="17" s="1"/>
  <c r="I32" i="17" s="1"/>
  <c r="H14" i="17"/>
  <c r="K33" i="17" l="1"/>
  <c r="I14" i="17"/>
  <c r="H36" i="17"/>
  <c r="I36" i="17" s="1"/>
  <c r="K36" i="17" s="1"/>
  <c r="C38" i="17" s="1"/>
  <c r="I35" i="17"/>
  <c r="K35" i="17" s="1"/>
  <c r="J32" i="17"/>
  <c r="K32" i="17" s="1"/>
  <c r="B15" i="3" l="1"/>
  <c r="B8" i="3"/>
  <c r="B8" i="2"/>
  <c r="B15" i="16" l="1"/>
  <c r="B8" i="16"/>
  <c r="E10" i="10" a="1"/>
  <c r="E10" i="10" s="1"/>
  <c r="G12" i="3" a="1"/>
  <c r="G12" i="3" s="1"/>
  <c r="F15" i="3" a="1"/>
  <c r="F15" i="3" s="1"/>
  <c r="E10" i="2" a="1"/>
  <c r="E10" i="2" s="1"/>
  <c r="F11" i="3" a="1"/>
  <c r="F11" i="3" s="1"/>
  <c r="C15" i="3" s="1"/>
  <c r="E11" i="3" a="1"/>
  <c r="E11" i="3" s="1"/>
  <c r="H5" i="16" a="1"/>
  <c r="H5" i="16" s="1"/>
  <c r="G5" i="16" a="1"/>
  <c r="G5" i="16" s="1"/>
  <c r="F11" i="16" a="1"/>
  <c r="F11" i="16" s="1"/>
  <c r="C15" i="16" s="1"/>
  <c r="E11" i="16" a="1"/>
  <c r="E11" i="16" s="1"/>
  <c r="F23" i="16" l="1" a="1"/>
  <c r="F23" i="16" s="1"/>
  <c r="E23" i="16" a="1"/>
  <c r="E23" i="16" s="1"/>
  <c r="G23" i="16" s="1"/>
  <c r="G15" i="16" a="1"/>
  <c r="G15" i="16" s="1"/>
  <c r="F15" i="16" a="1"/>
  <c r="F15" i="16" s="1"/>
  <c r="H12" i="16" a="1"/>
  <c r="H12" i="16" s="1"/>
  <c r="G12" i="16" a="1"/>
  <c r="G12" i="16" s="1"/>
  <c r="G7" i="16" a="1"/>
  <c r="G7" i="16" s="1"/>
  <c r="F7" i="16" a="1"/>
  <c r="F7" i="16" s="1"/>
  <c r="I5" i="16" a="1"/>
  <c r="I5" i="16" s="1"/>
  <c r="J5" i="16" s="1" a="1"/>
  <c r="J5" i="16" s="1"/>
  <c r="B12" i="16" s="1"/>
  <c r="F4" i="16" a="1"/>
  <c r="F4" i="16" s="1"/>
  <c r="C8" i="16" s="1"/>
  <c r="E4" i="16" a="1"/>
  <c r="E4" i="16" s="1"/>
  <c r="I12" i="16" l="1" a="1"/>
  <c r="I12" i="16" s="1"/>
  <c r="J12" i="16" s="1" a="1"/>
  <c r="J12" i="16" s="1"/>
  <c r="B19" i="16" s="1"/>
  <c r="H15" i="16" a="1"/>
  <c r="H15" i="16" s="1"/>
  <c r="F21" i="16" s="1"/>
  <c r="H21" i="16" s="1"/>
  <c r="I21" i="16" s="1"/>
  <c r="H7" i="16" a="1"/>
  <c r="H7" i="16" s="1"/>
  <c r="F19" i="16" l="1"/>
  <c r="H19" i="16" s="1"/>
  <c r="I19" i="16" s="1"/>
  <c r="J20" i="16" s="1"/>
  <c r="I23" i="16" l="1"/>
  <c r="H23" i="16" l="1"/>
  <c r="J23" i="16" s="1"/>
  <c r="F26" i="16" l="1"/>
  <c r="F27" i="16" s="1"/>
  <c r="C25" i="16" s="1"/>
  <c r="C26" i="16"/>
  <c r="J24" i="16"/>
  <c r="J25" i="16" s="1"/>
  <c r="F5" i="11"/>
  <c r="E5" i="11"/>
  <c r="G5" i="11" s="1"/>
  <c r="J5" i="11" s="1"/>
  <c r="F17" i="11" a="1"/>
  <c r="F17" i="11" s="1"/>
  <c r="E17" i="11" a="1"/>
  <c r="E17" i="11" s="1"/>
  <c r="J17" i="11" s="1"/>
  <c r="G10" i="11" a="1"/>
  <c r="G10" i="11" s="1"/>
  <c r="E10" i="11" a="1"/>
  <c r="E10" i="11" s="1"/>
  <c r="F10" i="11" s="1"/>
  <c r="B7" i="11"/>
  <c r="F5" i="10"/>
  <c r="E5" i="10"/>
  <c r="C24" i="16" l="1"/>
  <c r="H10" i="11" a="1"/>
  <c r="H10" i="11" s="1"/>
  <c r="J26" i="16"/>
  <c r="C28" i="16" s="1"/>
  <c r="J27" i="16"/>
  <c r="C27" i="16"/>
  <c r="G5" i="10"/>
  <c r="H5" i="11" a="1"/>
  <c r="H5" i="11" s="1"/>
  <c r="B12" i="11" s="1"/>
  <c r="B7" i="10"/>
  <c r="F10" i="10"/>
  <c r="F17" i="10" a="1"/>
  <c r="F17" i="10" s="1"/>
  <c r="E17" i="10" a="1"/>
  <c r="E17" i="10" s="1"/>
  <c r="J17" i="10" s="1"/>
  <c r="G10" i="10" a="1"/>
  <c r="G10" i="10" s="1"/>
  <c r="G15" i="11" l="1"/>
  <c r="H15" i="11" s="1"/>
  <c r="C24" i="11" s="1"/>
  <c r="C13" i="11"/>
  <c r="H10" i="10" a="1"/>
  <c r="H10" i="10" s="1"/>
  <c r="C13" i="10" s="1"/>
  <c r="H5" i="10" a="1"/>
  <c r="H5" i="10" s="1"/>
  <c r="B12" i="10" s="1"/>
  <c r="I5" i="10"/>
  <c r="F4" i="2" a="1"/>
  <c r="F4" i="2" s="1"/>
  <c r="C8" i="2" s="1"/>
  <c r="F4" i="3" a="1"/>
  <c r="F4" i="3" s="1"/>
  <c r="C8" i="3" s="1"/>
  <c r="G15" i="3" a="1"/>
  <c r="G15" i="3" s="1"/>
  <c r="H12" i="3" a="1"/>
  <c r="H12" i="3" s="1"/>
  <c r="I12" i="3" s="1" a="1"/>
  <c r="I12" i="3" s="1"/>
  <c r="J12" i="3" s="1" a="1"/>
  <c r="J12" i="3" s="1"/>
  <c r="B19" i="3" s="1"/>
  <c r="F23" i="3" a="1"/>
  <c r="F23" i="3" s="1"/>
  <c r="E23" i="3" a="1"/>
  <c r="E23" i="3" s="1"/>
  <c r="G23" i="3" s="1"/>
  <c r="G8" i="3" a="1"/>
  <c r="G8" i="3" s="1"/>
  <c r="F8" i="3" a="1"/>
  <c r="F8" i="3" s="1"/>
  <c r="H6" i="3" a="1"/>
  <c r="H6" i="3" s="1"/>
  <c r="I6" i="3" s="1" a="1"/>
  <c r="I6" i="3" s="1"/>
  <c r="J6" i="3" s="1" a="1"/>
  <c r="J6" i="3" s="1"/>
  <c r="B12" i="3" s="1"/>
  <c r="G6" i="3" a="1"/>
  <c r="G6" i="3" s="1"/>
  <c r="E4" i="3" a="1"/>
  <c r="E4" i="3" s="1"/>
  <c r="H5" i="2" a="1"/>
  <c r="H5" i="2" s="1"/>
  <c r="G5" i="2" a="1"/>
  <c r="G5" i="2" s="1"/>
  <c r="F19" i="2" a="1"/>
  <c r="F19" i="2" s="1"/>
  <c r="E19" i="2" a="1"/>
  <c r="E19" i="2" s="1"/>
  <c r="G19" i="2" s="1"/>
  <c r="E4" i="2" a="1"/>
  <c r="E4" i="2" s="1"/>
  <c r="F10" i="2" a="1"/>
  <c r="F10" i="2" s="1"/>
  <c r="I15" i="11" l="1"/>
  <c r="J15" i="11" s="1"/>
  <c r="I17" i="11" s="1"/>
  <c r="J23" i="11"/>
  <c r="C23" i="11" s="1"/>
  <c r="G15" i="10"/>
  <c r="H15" i="10" s="1"/>
  <c r="C24" i="10" s="1"/>
  <c r="I5" i="2" a="1"/>
  <c r="I5" i="2" s="1"/>
  <c r="J5" i="2" s="1" a="1"/>
  <c r="J5" i="2" s="1"/>
  <c r="B12" i="2" s="1"/>
  <c r="G10" i="2" a="1"/>
  <c r="G10" i="2" s="1"/>
  <c r="F16" i="2" s="1"/>
  <c r="H16" i="2" s="1"/>
  <c r="I16" i="2" s="1"/>
  <c r="J16" i="2" s="1"/>
  <c r="H15" i="3" a="1"/>
  <c r="H15" i="3" s="1"/>
  <c r="F21" i="3" s="1"/>
  <c r="H21" i="3" s="1"/>
  <c r="I21" i="3" s="1"/>
  <c r="H8" i="3" a="1"/>
  <c r="H8" i="3" s="1"/>
  <c r="H17" i="11" l="1"/>
  <c r="G17" i="11" s="1"/>
  <c r="J23" i="10"/>
  <c r="C23" i="10" s="1"/>
  <c r="I15" i="10"/>
  <c r="J15" i="10" s="1"/>
  <c r="H17" i="10" s="1"/>
  <c r="F19" i="3"/>
  <c r="H19" i="3" s="1"/>
  <c r="I19" i="3" s="1"/>
  <c r="J20" i="3" s="1"/>
  <c r="H23" i="3" s="1"/>
  <c r="H19" i="2"/>
  <c r="I19" i="2"/>
  <c r="F21" i="11" l="1"/>
  <c r="C18" i="11" s="1"/>
  <c r="C20" i="11"/>
  <c r="J19" i="11"/>
  <c r="J21" i="11" s="1"/>
  <c r="I17" i="10"/>
  <c r="I23" i="3"/>
  <c r="J19" i="2"/>
  <c r="F22" i="11" l="1"/>
  <c r="C19" i="11" s="1"/>
  <c r="F22" i="2"/>
  <c r="C17" i="2" s="1"/>
  <c r="C19" i="2"/>
  <c r="F23" i="2"/>
  <c r="C18" i="2" s="1"/>
  <c r="J22" i="11"/>
  <c r="C22" i="11" s="1"/>
  <c r="C21" i="11"/>
  <c r="G17" i="10"/>
  <c r="C20" i="10" s="1"/>
  <c r="J23" i="3"/>
  <c r="J20" i="2"/>
  <c r="J21" i="2" s="1"/>
  <c r="J23" i="2" s="1"/>
  <c r="F27" i="3" l="1"/>
  <c r="F28" i="3" s="1"/>
  <c r="C25" i="3" s="1"/>
  <c r="C26" i="3"/>
  <c r="F21" i="10"/>
  <c r="J20" i="10"/>
  <c r="J24" i="3"/>
  <c r="J26" i="3" s="1"/>
  <c r="J22" i="2"/>
  <c r="C21" i="2" s="1"/>
  <c r="C20" i="2"/>
  <c r="C24" i="3" l="1"/>
  <c r="C18" i="10"/>
  <c r="F22" i="10"/>
  <c r="C19" i="10" s="1"/>
  <c r="J27" i="3"/>
  <c r="C28" i="3" s="1"/>
  <c r="J28" i="3"/>
  <c r="J21" i="10"/>
  <c r="C21" i="10" s="1"/>
  <c r="C27" i="3"/>
  <c r="J22" i="10" l="1"/>
  <c r="C22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<sst xmlns="http://schemas.openxmlformats.org/spreadsheetml/2006/main" count="397" uniqueCount="130">
  <si>
    <t>Rlmax</t>
  </si>
  <si>
    <t>#Cond</t>
  </si>
  <si>
    <t>CableP</t>
  </si>
  <si>
    <t>Temperature</t>
  </si>
  <si>
    <t>Lmax</t>
  </si>
  <si>
    <t>Rloop</t>
  </si>
  <si>
    <t>VminPd</t>
  </si>
  <si>
    <t>VminXo</t>
  </si>
  <si>
    <t>ImaxXo</t>
  </si>
  <si>
    <t>PmaxXo</t>
  </si>
  <si>
    <t>PmaxXi</t>
  </si>
  <si>
    <t>Rcable0</t>
  </si>
  <si>
    <t>Rcable1</t>
  </si>
  <si>
    <t>AWG</t>
  </si>
  <si>
    <t>P</t>
  </si>
  <si>
    <t>Temp</t>
  </si>
  <si>
    <t>Vx</t>
  </si>
  <si>
    <t>Ix</t>
  </si>
  <si>
    <t>Ps</t>
  </si>
  <si>
    <t>55C (Sunlight Exposed)</t>
  </si>
  <si>
    <t>Cable Length Units</t>
  </si>
  <si>
    <t>Power Supply</t>
  </si>
  <si>
    <t>PoE Device Class</t>
  </si>
  <si>
    <t>Cable Type</t>
  </si>
  <si>
    <t>Cable Ambient Temp</t>
  </si>
  <si>
    <t>Meters</t>
  </si>
  <si>
    <t>CS Cat6a F/UTP Outdoor Cord (Recommended)</t>
  </si>
  <si>
    <t>LmaxSUN</t>
  </si>
  <si>
    <t>LmaxDuct</t>
  </si>
  <si>
    <t>Ambient Temperature</t>
  </si>
  <si>
    <t>Powered Device</t>
  </si>
  <si>
    <t>PF Cable Length (meters)</t>
  </si>
  <si>
    <t>PF Cable Length (feet)</t>
  </si>
  <si>
    <t>PF Cable Guage</t>
  </si>
  <si>
    <t>Supply Voltage  (25-57V)</t>
  </si>
  <si>
    <t>12 AWG</t>
  </si>
  <si>
    <t>Class4</t>
  </si>
  <si>
    <t>Supply Current (Amps)</t>
  </si>
  <si>
    <t>Supply Power (Watts)</t>
  </si>
  <si>
    <t>Pmax</t>
  </si>
  <si>
    <t>UNITS</t>
  </si>
  <si>
    <t>Parameters based on CLASS</t>
  </si>
  <si>
    <t>Supply Voltage</t>
  </si>
  <si>
    <t>Device Voltage (V)</t>
  </si>
  <si>
    <t>Find Maximum Pd cable length</t>
  </si>
  <si>
    <t>Find Maximum PFC length</t>
  </si>
  <si>
    <t>Pd cable T</t>
  </si>
  <si>
    <t>PdCableP</t>
  </si>
  <si>
    <t>PdCable AWG</t>
  </si>
  <si>
    <t>Max Length</t>
  </si>
  <si>
    <t>Vpd</t>
  </si>
  <si>
    <t>PFC loop calculations</t>
  </si>
  <si>
    <t>PFC</t>
  </si>
  <si>
    <t>V</t>
  </si>
  <si>
    <t>I</t>
  </si>
  <si>
    <t>Pd</t>
  </si>
  <si>
    <t>Crosscheck on power splits</t>
  </si>
  <si>
    <t>Ptotal</t>
  </si>
  <si>
    <t>Just PFC to some other powered device (no Extender)</t>
  </si>
  <si>
    <t>MAX PoE Length based on selection parameters</t>
  </si>
  <si>
    <t>PoE Load calculations</t>
  </si>
  <si>
    <t>Pcable</t>
  </si>
  <si>
    <t>MAX PoE Length based on type</t>
  </si>
  <si>
    <t>Rpoe</t>
  </si>
  <si>
    <t>Powered Device Voltage</t>
  </si>
  <si>
    <t>Powered Device Current</t>
  </si>
  <si>
    <t>End User Powered Device</t>
  </si>
  <si>
    <t>→ Set the Design Parameters needed in the Yellow Cells</t>
  </si>
  <si>
    <t>→ Results based on Design Parameters are provided in the Tan Cells</t>
  </si>
  <si>
    <t>Min Device Voltage (≤10.5V)</t>
  </si>
  <si>
    <t>Min Device Voltage (≤47.0V)</t>
  </si>
  <si>
    <t>Port 1</t>
  </si>
  <si>
    <t>Port 2</t>
  </si>
  <si>
    <t>Class8</t>
  </si>
  <si>
    <t>Length</t>
  </si>
  <si>
    <t>R</t>
  </si>
  <si>
    <t>Ir</t>
  </si>
  <si>
    <t>Vd</t>
  </si>
  <si>
    <t xml:space="preserve">Available Device Power </t>
  </si>
  <si>
    <t>Available Device Voltage</t>
  </si>
  <si>
    <t xml:space="preserve"> Supply Power</t>
  </si>
  <si>
    <t>Pr</t>
  </si>
  <si>
    <t>Vr</t>
  </si>
  <si>
    <t>V&amp;Plimited</t>
  </si>
  <si>
    <t>P of V</t>
  </si>
  <si>
    <t>P for lim-p</t>
  </si>
  <si>
    <t>pofVmin</t>
  </si>
  <si>
    <t>End User Device Power</t>
  </si>
  <si>
    <t>MinDeviceVoltage</t>
  </si>
  <si>
    <t>length</t>
  </si>
  <si>
    <t>18 AWG</t>
  </si>
  <si>
    <t>Class2</t>
  </si>
  <si>
    <t>PF Cable Resistance Ω</t>
  </si>
  <si>
    <t>Cable Resistance Ω</t>
  </si>
  <si>
    <t>Ω</t>
  </si>
  <si>
    <t>FiberREACH PoE Class 8 Extender       PFU-P-C-O-090-02</t>
  </si>
  <si>
    <t>FiberREACH PoE Class 4 Extender      PFU-P-C-O-060-02</t>
  </si>
  <si>
    <t>FiberREACH PoE Class 6 Extender       PFU-P-C-O-060-01</t>
  </si>
  <si>
    <t>FiberREACH Powered Fiber Cable</t>
  </si>
  <si>
    <t>Rlength</t>
  </si>
  <si>
    <t>V-limited</t>
  </si>
  <si>
    <t>P-limited</t>
  </si>
  <si>
    <t>D-limited</t>
  </si>
  <si>
    <t>V-Limited</t>
  </si>
  <si>
    <t>P-Limited</t>
  </si>
  <si>
    <t>NOTE: Only Supports Dual Signature Detection for Class 5 &amp; 6 Devices</t>
  </si>
  <si>
    <r>
      <t xml:space="preserve">PF Cable Resistance </t>
    </r>
    <r>
      <rPr>
        <sz val="11"/>
        <color theme="1"/>
        <rFont val="Aptos Narrow"/>
        <family val="2"/>
      </rPr>
      <t>Ω</t>
    </r>
  </si>
  <si>
    <r>
      <t xml:space="preserve"> Supply Power (</t>
    </r>
    <r>
      <rPr>
        <sz val="11"/>
        <color theme="1"/>
        <rFont val="Aptos Narrow"/>
        <family val="2"/>
      </rPr>
      <t>≤</t>
    </r>
    <r>
      <rPr>
        <sz val="11"/>
        <color theme="1"/>
        <rFont val="Calibri"/>
        <family val="2"/>
        <scheme val="minor"/>
      </rPr>
      <t>100W)</t>
    </r>
  </si>
  <si>
    <t xml:space="preserve"> Supply Power (≤100W)</t>
  </si>
  <si>
    <t>FiberREACH 48V Extender       PFU-48-C-O-060-01</t>
  </si>
  <si>
    <t>FiberREACH 12V Extender      PFU-12-C-O-060-01</t>
  </si>
  <si>
    <t>CommScopeDistance Calculator for PoE/Power Extenders</t>
  </si>
  <si>
    <t>Length to User Device (5% Margin applied)</t>
  </si>
  <si>
    <t>Length and Minimum Voltage INPUT</t>
  </si>
  <si>
    <t>Alternate Calculation - Highest Available Power (no 5% Margin)</t>
  </si>
  <si>
    <t xml:space="preserve">  Version 10</t>
  </si>
  <si>
    <t xml:space="preserve">Contact CommScope Systems Engineering for help with powered fiber calculations </t>
  </si>
  <si>
    <t>that do not involve the PFU line of PoE and power extenders.</t>
  </si>
  <si>
    <t>Voltage, Current, and Power results are based on minimum Extender performance</t>
  </si>
  <si>
    <t>and actual results may be different.</t>
  </si>
  <si>
    <t>DISCLAIMER: These calculations are provided for guidance purposes only. They are provided “as is” and</t>
  </si>
  <si>
    <t xml:space="preserve">should not be relied upon without consultation with and supervision of experienced personnel and a </t>
  </si>
  <si>
    <t xml:space="preserve">local CommScope representative. CommScope makes no representations or warranties of any kind related </t>
  </si>
  <si>
    <t xml:space="preserve">to these tools, whether express or implied, and specifically disclaims and excludes any representation </t>
  </si>
  <si>
    <t xml:space="preserve">or warranty of merchantability, quality, content, completeness, suitability, adequacy, accuracy, </t>
  </si>
  <si>
    <t xml:space="preserve">noninfringement or fitness for a particular purpose and any representation arising by usage of trade, </t>
  </si>
  <si>
    <t xml:space="preserve">course of dealing or course of performance. CommScope is under no obligation to issue any upgrades, </t>
  </si>
  <si>
    <t xml:space="preserve">update specifications or notify users of this tool that changes have been made. The user of these tools </t>
  </si>
  <si>
    <t xml:space="preserve">assumes all risks associated with such use, and CommScope hereby disclaims any and all liability for </t>
  </si>
  <si>
    <t>damages of any kind resulting from such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</si>
</sst>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00"/>
    <numFmt numFmtId="166" formatCode="0.000000"/>
    <numFmt numFmtId="167" formatCode="0.000"/>
    <numFmt numFmtId="168" formatCode="0.0000"/>
    <numFmt numFmtId="169" formatCode="0.0000000"/>
    <numFmt numFmtId="170" formatCode="0.00000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Arial Black"/>
      <family val="2"/>
    </font>
    <font>
      <b/>
      <sz val="14"/>
      <color theme="1"/>
      <name val="Calibri"/>
      <family val="2"/>
      <scheme val="minor"/>
    </font>
    <font>
      <sz val="11"/>
      <color theme="1"/>
      <name val="Aptos Narrow"/>
      <family val="2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DB6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DB3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1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auto="1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auto="1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 style="thick">
        <color auto="1"/>
      </right>
      <top style="thick">
        <color auto="1"/>
      </top>
      <bottom style="thick">
        <color indexed="64"/>
      </bottom>
      <diagonal/>
    </border>
    <border>
      <left/>
      <right/>
      <top style="thick">
        <color indexed="64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indexed="64"/>
      </right>
      <top/>
      <bottom style="thin">
        <color indexed="64"/>
      </bottom>
      <diagonal/>
    </border>
    <border>
      <left style="medium">
        <color auto="1"/>
      </left>
      <right style="thick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0" fillId="7" borderId="0" xfId="0" applyFill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2" fontId="0" fillId="4" borderId="0" xfId="0" applyNumberFormat="1" applyFill="1" applyProtection="1">
      <protection locked="0"/>
    </xf>
    <xf numFmtId="2" fontId="0" fillId="5" borderId="0" xfId="0" applyNumberFormat="1" applyFill="1" applyProtection="1">
      <protection locked="0"/>
    </xf>
    <xf numFmtId="0" fontId="2" fillId="0" borderId="0" xfId="0" applyFont="1" applyProtection="1">
      <protection locked="0"/>
    </xf>
    <xf numFmtId="2" fontId="2" fillId="0" borderId="0" xfId="0" applyNumberFormat="1" applyFont="1" applyProtection="1">
      <protection locked="0"/>
    </xf>
    <xf numFmtId="2" fontId="2" fillId="0" borderId="0" xfId="0" quotePrefix="1" applyNumberFormat="1" applyFont="1" applyProtection="1">
      <protection locked="0"/>
    </xf>
    <xf numFmtId="0" fontId="0" fillId="0" borderId="0" xfId="0" quotePrefix="1" applyProtection="1">
      <protection locked="0"/>
    </xf>
    <xf numFmtId="0" fontId="0" fillId="8" borderId="0" xfId="0" applyFill="1" applyProtection="1">
      <protection locked="0"/>
    </xf>
    <xf numFmtId="165" fontId="0" fillId="0" borderId="0" xfId="0" applyNumberFormat="1" applyProtection="1">
      <protection locked="0"/>
    </xf>
    <xf numFmtId="0" fontId="2" fillId="7" borderId="0" xfId="0" applyFont="1" applyFill="1" applyProtection="1">
      <protection locked="0"/>
    </xf>
    <xf numFmtId="0" fontId="0" fillId="0" borderId="0" xfId="0" applyAlignment="1" applyProtection="1">
      <alignment horizontal="center" vertical="center"/>
      <protection hidden="1"/>
    </xf>
    <xf numFmtId="2" fontId="0" fillId="0" borderId="0" xfId="0" applyNumberFormat="1"/>
    <xf numFmtId="0" fontId="0" fillId="3" borderId="0" xfId="0" applyFill="1"/>
    <xf numFmtId="0" fontId="0" fillId="7" borderId="0" xfId="0" applyFill="1"/>
    <xf numFmtId="2" fontId="0" fillId="5" borderId="0" xfId="0" applyNumberFormat="1" applyFill="1"/>
    <xf numFmtId="2" fontId="0" fillId="0" borderId="0" xfId="0" quotePrefix="1" applyNumberFormat="1"/>
    <xf numFmtId="2" fontId="2" fillId="0" borderId="0" xfId="0" applyNumberFormat="1" applyFont="1"/>
    <xf numFmtId="1" fontId="0" fillId="0" borderId="0" xfId="0" applyNumberFormat="1"/>
    <xf numFmtId="164" fontId="0" fillId="0" borderId="0" xfId="0" applyNumberFormat="1"/>
    <xf numFmtId="2" fontId="0" fillId="4" borderId="0" xfId="0" applyNumberFormat="1" applyFill="1"/>
    <xf numFmtId="0" fontId="2" fillId="0" borderId="0" xfId="0" applyFont="1"/>
    <xf numFmtId="2" fontId="2" fillId="0" borderId="0" xfId="0" quotePrefix="1" applyNumberFormat="1" applyFont="1"/>
    <xf numFmtId="0" fontId="0" fillId="11" borderId="0" xfId="0" applyFill="1"/>
    <xf numFmtId="0" fontId="0" fillId="11" borderId="46" xfId="0" applyFill="1" applyBorder="1"/>
    <xf numFmtId="2" fontId="0" fillId="11" borderId="46" xfId="0" applyNumberFormat="1" applyFill="1" applyBorder="1"/>
    <xf numFmtId="0" fontId="0" fillId="11" borderId="47" xfId="0" applyFill="1" applyBorder="1"/>
    <xf numFmtId="2" fontId="0" fillId="11" borderId="47" xfId="0" applyNumberFormat="1" applyFill="1" applyBorder="1"/>
    <xf numFmtId="0" fontId="0" fillId="11" borderId="46" xfId="0" applyFill="1" applyBorder="1" applyAlignment="1">
      <alignment horizontal="center"/>
    </xf>
    <xf numFmtId="168" fontId="0" fillId="0" borderId="0" xfId="0" quotePrefix="1" applyNumberFormat="1" applyProtection="1">
      <protection locked="0"/>
    </xf>
    <xf numFmtId="0" fontId="0" fillId="0" borderId="0" xfId="0" quotePrefix="1"/>
    <xf numFmtId="0" fontId="0" fillId="0" borderId="0" xfId="0" applyAlignment="1" applyProtection="1">
      <alignment horizontal="center" vertical="center"/>
      <protection locked="0" hidden="1"/>
    </xf>
    <xf numFmtId="0" fontId="2" fillId="7" borderId="0" xfId="0" applyFont="1" applyFill="1"/>
    <xf numFmtId="166" fontId="0" fillId="0" borderId="0" xfId="0" quotePrefix="1" applyNumberFormat="1"/>
    <xf numFmtId="167" fontId="0" fillId="0" borderId="0" xfId="0" applyNumberFormat="1"/>
    <xf numFmtId="165" fontId="0" fillId="0" borderId="0" xfId="0" applyNumberFormat="1"/>
    <xf numFmtId="0" fontId="5" fillId="0" borderId="0" xfId="0" applyFont="1"/>
    <xf numFmtId="0" fontId="0" fillId="5" borderId="0" xfId="0" applyFill="1" applyProtection="1">
      <protection locked="0"/>
    </xf>
    <xf numFmtId="0" fontId="0" fillId="5" borderId="0" xfId="0" applyFill="1"/>
    <xf numFmtId="0" fontId="0" fillId="4" borderId="0" xfId="0" applyFill="1"/>
    <xf numFmtId="2" fontId="0" fillId="4" borderId="0" xfId="0" quotePrefix="1" applyNumberFormat="1" applyFill="1"/>
    <xf numFmtId="2" fontId="4" fillId="4" borderId="43" xfId="0" applyNumberFormat="1" applyFont="1" applyFill="1" applyBorder="1"/>
    <xf numFmtId="2" fontId="4" fillId="4" borderId="38" xfId="0" quotePrefix="1" applyNumberFormat="1" applyFont="1" applyFill="1" applyBorder="1"/>
    <xf numFmtId="0" fontId="0" fillId="4" borderId="0" xfId="0" applyFill="1" applyProtection="1">
      <protection locked="0"/>
    </xf>
    <xf numFmtId="2" fontId="0" fillId="4" borderId="0" xfId="0" quotePrefix="1" applyNumberFormat="1" applyFill="1" applyProtection="1">
      <protection locked="0"/>
    </xf>
    <xf numFmtId="2" fontId="4" fillId="4" borderId="43" xfId="0" applyNumberFormat="1" applyFont="1" applyFill="1" applyBorder="1" applyProtection="1">
      <protection locked="0"/>
    </xf>
    <xf numFmtId="2" fontId="4" fillId="4" borderId="38" xfId="0" quotePrefix="1" applyNumberFormat="1" applyFont="1" applyFill="1" applyBorder="1" applyProtection="1">
      <protection locked="0"/>
    </xf>
    <xf numFmtId="2" fontId="4" fillId="4" borderId="38" xfId="0" applyNumberFormat="1" applyFont="1" applyFill="1" applyBorder="1" applyProtection="1">
      <protection locked="0"/>
    </xf>
    <xf numFmtId="2" fontId="0" fillId="4" borderId="45" xfId="0" applyNumberFormat="1" applyFill="1" applyBorder="1" applyProtection="1">
      <protection locked="0"/>
    </xf>
    <xf numFmtId="0" fontId="4" fillId="4" borderId="42" xfId="0" applyFont="1" applyFill="1" applyBorder="1" applyAlignment="1" applyProtection="1">
      <alignment horizontal="right"/>
      <protection locked="0"/>
    </xf>
    <xf numFmtId="0" fontId="4" fillId="4" borderId="11" xfId="0" applyFont="1" applyFill="1" applyBorder="1" applyAlignment="1" applyProtection="1">
      <alignment horizontal="right"/>
      <protection locked="0"/>
    </xf>
    <xf numFmtId="0" fontId="0" fillId="4" borderId="44" xfId="0" applyFill="1" applyBorder="1" applyAlignment="1" applyProtection="1">
      <alignment horizontal="right"/>
      <protection locked="0"/>
    </xf>
    <xf numFmtId="2" fontId="4" fillId="4" borderId="38" xfId="0" applyNumberFormat="1" applyFont="1" applyFill="1" applyBorder="1"/>
    <xf numFmtId="2" fontId="0" fillId="4" borderId="45" xfId="0" applyNumberFormat="1" applyFill="1" applyBorder="1"/>
    <xf numFmtId="0" fontId="0" fillId="12" borderId="0" xfId="0" applyFill="1"/>
    <xf numFmtId="0" fontId="0" fillId="12" borderId="0" xfId="0" applyFill="1" applyProtection="1">
      <protection locked="0"/>
    </xf>
    <xf numFmtId="168" fontId="0" fillId="4" borderId="0" xfId="0" applyNumberFormat="1" applyFill="1" applyProtection="1">
      <protection locked="0"/>
    </xf>
    <xf numFmtId="167" fontId="0" fillId="5" borderId="0" xfId="0" applyNumberFormat="1" applyFill="1" applyProtection="1">
      <protection locked="0"/>
    </xf>
    <xf numFmtId="0" fontId="4" fillId="4" borderId="42" xfId="0" applyFont="1" applyFill="1" applyBorder="1" applyProtection="1">
      <protection locked="0"/>
    </xf>
    <xf numFmtId="0" fontId="4" fillId="4" borderId="11" xfId="0" applyFont="1" applyFill="1" applyBorder="1" applyProtection="1">
      <protection locked="0"/>
    </xf>
    <xf numFmtId="0" fontId="0" fillId="4" borderId="44" xfId="0" applyFill="1" applyBorder="1" applyAlignment="1">
      <alignment horizontal="left"/>
    </xf>
    <xf numFmtId="0" fontId="4" fillId="4" borderId="42" xfId="0" applyFont="1" applyFill="1" applyBorder="1" applyAlignment="1">
      <alignment horizontal="left"/>
    </xf>
    <xf numFmtId="0" fontId="4" fillId="4" borderId="11" xfId="0" applyFont="1" applyFill="1" applyBorder="1" applyAlignment="1">
      <alignment horizontal="left"/>
    </xf>
    <xf numFmtId="169" fontId="0" fillId="0" borderId="0" xfId="0" quotePrefix="1" applyNumberFormat="1" applyProtection="1">
      <protection locked="0"/>
    </xf>
    <xf numFmtId="168" fontId="0" fillId="5" borderId="0" xfId="0" applyNumberFormat="1" applyFill="1" applyProtection="1">
      <protection locked="0"/>
    </xf>
    <xf numFmtId="165" fontId="0" fillId="5" borderId="0" xfId="0" applyNumberFormat="1" applyFill="1" applyProtection="1">
      <protection locked="0"/>
    </xf>
    <xf numFmtId="165" fontId="0" fillId="4" borderId="0" xfId="0" applyNumberFormat="1" applyFill="1" applyProtection="1">
      <protection locked="0"/>
    </xf>
    <xf numFmtId="166" fontId="0" fillId="0" borderId="0" xfId="0" applyNumberFormat="1" applyProtection="1">
      <protection locked="0"/>
    </xf>
    <xf numFmtId="169" fontId="0" fillId="0" borderId="0" xfId="0" applyNumberFormat="1" applyProtection="1">
      <protection locked="0"/>
    </xf>
    <xf numFmtId="170" fontId="0" fillId="0" borderId="0" xfId="0" applyNumberFormat="1" applyProtection="1">
      <protection locked="0"/>
    </xf>
    <xf numFmtId="167" fontId="2" fillId="0" borderId="0" xfId="0" applyNumberFormat="1" applyFont="1" applyProtection="1">
      <protection locked="0"/>
    </xf>
    <xf numFmtId="165" fontId="2" fillId="0" borderId="0" xfId="0" quotePrefix="1" applyNumberFormat="1" applyFont="1" applyProtection="1">
      <protection locked="0"/>
    </xf>
    <xf numFmtId="168" fontId="2" fillId="0" borderId="0" xfId="0" applyNumberFormat="1" applyFont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  <xf numFmtId="167" fontId="2" fillId="0" borderId="0" xfId="0" applyNumberFormat="1" applyFont="1"/>
    <xf numFmtId="0" fontId="0" fillId="9" borderId="24" xfId="0" applyFill="1" applyBorder="1" applyAlignment="1" applyProtection="1">
      <alignment horizontal="center"/>
      <protection hidden="1"/>
    </xf>
    <xf numFmtId="0" fontId="0" fillId="0" borderId="19" xfId="0" applyBorder="1" applyProtection="1">
      <protection hidden="1"/>
    </xf>
    <xf numFmtId="0" fontId="0" fillId="10" borderId="25" xfId="0" applyFill="1" applyBorder="1" applyProtection="1"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29" xfId="0" applyBorder="1" applyAlignment="1" applyProtection="1">
      <alignment horizontal="left"/>
      <protection hidden="1"/>
    </xf>
    <xf numFmtId="0" fontId="0" fillId="0" borderId="20" xfId="0" applyBorder="1" applyProtection="1">
      <protection hidden="1"/>
    </xf>
    <xf numFmtId="0" fontId="0" fillId="0" borderId="21" xfId="0" applyBorder="1" applyProtection="1">
      <protection hidden="1"/>
    </xf>
    <xf numFmtId="0" fontId="0" fillId="0" borderId="23" xfId="0" applyBorder="1" applyProtection="1">
      <protection hidden="1"/>
    </xf>
    <xf numFmtId="0" fontId="0" fillId="0" borderId="30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9" xfId="0" applyBorder="1" applyProtection="1">
      <protection hidden="1"/>
    </xf>
    <xf numFmtId="0" fontId="0" fillId="10" borderId="3" xfId="0" applyFill="1" applyBorder="1" applyProtection="1">
      <protection hidden="1"/>
    </xf>
    <xf numFmtId="0" fontId="0" fillId="9" borderId="9" xfId="0" applyFill="1" applyBorder="1" applyAlignment="1" applyProtection="1">
      <alignment horizontal="center"/>
      <protection hidden="1"/>
    </xf>
    <xf numFmtId="0" fontId="0" fillId="0" borderId="27" xfId="0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Protection="1">
      <protection hidden="1"/>
    </xf>
    <xf numFmtId="0" fontId="0" fillId="13" borderId="36" xfId="0" applyFill="1" applyBorder="1" applyAlignment="1" applyProtection="1">
      <alignment horizontal="center"/>
      <protection hidden="1"/>
    </xf>
    <xf numFmtId="0" fontId="0" fillId="13" borderId="0" xfId="0" applyFill="1" applyProtection="1">
      <protection hidden="1"/>
    </xf>
    <xf numFmtId="0" fontId="0" fillId="13" borderId="36" xfId="0" applyFill="1" applyBorder="1" applyProtection="1">
      <protection hidden="1"/>
    </xf>
    <xf numFmtId="164" fontId="0" fillId="13" borderId="36" xfId="0" applyNumberFormat="1" applyFill="1" applyBorder="1" applyAlignment="1" applyProtection="1">
      <alignment horizontal="center"/>
      <protection hidden="1"/>
    </xf>
    <xf numFmtId="0" fontId="0" fillId="13" borderId="48" xfId="0" applyFill="1" applyBorder="1" applyAlignment="1" applyProtection="1">
      <alignment horizontal="center"/>
      <protection hidden="1"/>
    </xf>
    <xf numFmtId="164" fontId="0" fillId="13" borderId="48" xfId="0" applyNumberFormat="1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locked="0" hidden="1"/>
    </xf>
    <xf numFmtId="0" fontId="0" fillId="2" borderId="9" xfId="0" applyFill="1" applyBorder="1" applyAlignment="1" applyProtection="1">
      <alignment horizontal="center"/>
      <protection locked="0" hidden="1"/>
    </xf>
    <xf numFmtId="0" fontId="0" fillId="2" borderId="10" xfId="0" applyFill="1" applyBorder="1" applyAlignment="1" applyProtection="1">
      <alignment horizontal="center"/>
      <protection locked="0" hidden="1"/>
    </xf>
    <xf numFmtId="0" fontId="0" fillId="2" borderId="27" xfId="0" applyFill="1" applyBorder="1" applyAlignment="1" applyProtection="1">
      <alignment horizontal="center"/>
      <protection locked="0" hidden="1"/>
    </xf>
    <xf numFmtId="0" fontId="0" fillId="7" borderId="12" xfId="0" applyFill="1" applyBorder="1" applyAlignment="1" applyProtection="1">
      <alignment horizontal="center"/>
      <protection hidden="1"/>
    </xf>
    <xf numFmtId="0" fontId="0" fillId="7" borderId="6" xfId="0" applyFill="1" applyBorder="1" applyAlignment="1" applyProtection="1">
      <alignment horizontal="center"/>
      <protection hidden="1"/>
    </xf>
    <xf numFmtId="0" fontId="0" fillId="0" borderId="41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28" xfId="0" applyBorder="1" applyProtection="1">
      <protection hidden="1"/>
    </xf>
    <xf numFmtId="2" fontId="4" fillId="9" borderId="10" xfId="0" applyNumberFormat="1" applyFont="1" applyFill="1" applyBorder="1" applyProtection="1">
      <protection hidden="1"/>
    </xf>
    <xf numFmtId="0" fontId="0" fillId="2" borderId="41" xfId="0" applyFill="1" applyBorder="1" applyAlignment="1" applyProtection="1">
      <alignment horizontal="center"/>
      <protection locked="0" hidden="1"/>
    </xf>
    <xf numFmtId="2" fontId="0" fillId="9" borderId="10" xfId="0" applyNumberFormat="1" applyFill="1" applyBorder="1" applyProtection="1">
      <protection hidden="1"/>
    </xf>
    <xf numFmtId="0" fontId="0" fillId="13" borderId="11" xfId="0" applyFill="1" applyBorder="1" applyProtection="1">
      <protection hidden="1"/>
    </xf>
    <xf numFmtId="0" fontId="0" fillId="0" borderId="37" xfId="0" applyBorder="1" applyAlignment="1" applyProtection="1">
      <alignment horizontal="left"/>
      <protection hidden="1"/>
    </xf>
    <xf numFmtId="2" fontId="0" fillId="9" borderId="38" xfId="0" applyNumberFormat="1" applyFill="1" applyBorder="1" applyAlignment="1" applyProtection="1">
      <alignment horizontal="right"/>
      <protection hidden="1"/>
    </xf>
    <xf numFmtId="0" fontId="0" fillId="2" borderId="38" xfId="0" applyFill="1" applyBorder="1" applyAlignment="1" applyProtection="1">
      <alignment horizontal="center"/>
      <protection locked="0" hidden="1"/>
    </xf>
    <xf numFmtId="0" fontId="0" fillId="2" borderId="39" xfId="0" applyFill="1" applyBorder="1" applyAlignment="1" applyProtection="1">
      <alignment horizontal="center"/>
      <protection locked="0" hidden="1"/>
    </xf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2" fontId="1" fillId="9" borderId="9" xfId="0" applyNumberFormat="1" applyFont="1" applyFill="1" applyBorder="1" applyAlignment="1" applyProtection="1">
      <alignment horizontal="center"/>
      <protection hidden="1"/>
    </xf>
    <xf numFmtId="2" fontId="0" fillId="9" borderId="9" xfId="0" applyNumberFormat="1" applyFill="1" applyBorder="1" applyProtection="1">
      <protection hidden="1"/>
    </xf>
    <xf numFmtId="2" fontId="0" fillId="2" borderId="9" xfId="0" applyNumberFormat="1" applyFill="1" applyBorder="1" applyAlignment="1" applyProtection="1">
      <alignment horizontal="center"/>
      <protection locked="0" hidden="1"/>
    </xf>
    <xf numFmtId="0" fontId="7" fillId="0" borderId="0" xfId="0" applyFont="1"/>
    <xf numFmtId="167" fontId="1" fillId="9" borderId="39" xfId="0" applyNumberFormat="1" applyFont="1" applyFill="1" applyBorder="1" applyAlignment="1" applyProtection="1">
      <alignment horizontal="center"/>
      <protection hidden="1"/>
    </xf>
    <xf numFmtId="167" fontId="1" fillId="9" borderId="40" xfId="0" applyNumberFormat="1" applyFont="1" applyFill="1" applyBorder="1" applyAlignment="1" applyProtection="1">
      <alignment horizontal="center"/>
      <protection hidden="1"/>
    </xf>
    <xf numFmtId="2" fontId="0" fillId="2" borderId="7" xfId="0" applyNumberFormat="1" applyFill="1" applyBorder="1" applyAlignment="1" applyProtection="1">
      <alignment horizontal="center"/>
      <protection locked="0" hidden="1"/>
    </xf>
    <xf numFmtId="2" fontId="0" fillId="2" borderId="13" xfId="0" applyNumberFormat="1" applyFill="1" applyBorder="1" applyAlignment="1" applyProtection="1">
      <alignment horizontal="center"/>
      <protection locked="0" hidden="1"/>
    </xf>
    <xf numFmtId="0" fontId="0" fillId="8" borderId="0" xfId="0" applyFill="1"/>
    <xf numFmtId="0" fontId="0" fillId="0" borderId="49" xfId="0" applyBorder="1" applyProtection="1">
      <protection hidden="1"/>
    </xf>
    <xf numFmtId="0" fontId="0" fillId="0" borderId="52" xfId="0" applyBorder="1" applyProtection="1">
      <protection hidden="1"/>
    </xf>
    <xf numFmtId="0" fontId="0" fillId="0" borderId="53" xfId="0" applyBorder="1" applyAlignment="1" applyProtection="1">
      <alignment horizontal="left"/>
      <protection hidden="1"/>
    </xf>
    <xf numFmtId="164" fontId="0" fillId="14" borderId="0" xfId="0" applyNumberFormat="1" applyFill="1"/>
    <xf numFmtId="167" fontId="0" fillId="2" borderId="0" xfId="0" applyNumberFormat="1" applyFill="1"/>
    <xf numFmtId="167" fontId="0" fillId="0" borderId="0" xfId="0" applyNumberFormat="1" applyProtection="1">
      <protection locked="0"/>
    </xf>
    <xf numFmtId="167" fontId="0" fillId="2" borderId="0" xfId="0" applyNumberFormat="1" applyFill="1" applyProtection="1">
      <protection locked="0"/>
    </xf>
    <xf numFmtId="2" fontId="0" fillId="9" borderId="49" xfId="0" applyNumberFormat="1" applyFill="1" applyBorder="1" applyProtection="1">
      <protection hidden="1"/>
    </xf>
    <xf numFmtId="2" fontId="0" fillId="9" borderId="51" xfId="0" applyNumberFormat="1" applyFill="1" applyBorder="1" applyAlignment="1" applyProtection="1">
      <alignment horizontal="right"/>
      <protection hidden="1"/>
    </xf>
    <xf numFmtId="0" fontId="0" fillId="15" borderId="0" xfId="0" applyFill="1"/>
    <xf numFmtId="2" fontId="0" fillId="9" borderId="50" xfId="0" applyNumberFormat="1" applyFill="1" applyBorder="1" applyAlignment="1" applyProtection="1">
      <alignment horizontal="right"/>
      <protection hidden="1"/>
    </xf>
    <xf numFmtId="0" fontId="0" fillId="16" borderId="0" xfId="0" applyFill="1" applyProtection="1">
      <protection hidden="1"/>
    </xf>
    <xf numFmtId="0" fontId="0" fillId="16" borderId="48" xfId="0" applyFill="1" applyBorder="1" applyAlignment="1" applyProtection="1">
      <alignment horizontal="center"/>
      <protection hidden="1"/>
    </xf>
    <xf numFmtId="164" fontId="0" fillId="16" borderId="48" xfId="0" applyNumberFormat="1" applyFill="1" applyBorder="1" applyAlignment="1" applyProtection="1">
      <alignment horizontal="center"/>
      <protection hidden="1"/>
    </xf>
    <xf numFmtId="2" fontId="0" fillId="9" borderId="28" xfId="0" applyNumberFormat="1" applyFill="1" applyBorder="1" applyAlignment="1" applyProtection="1">
      <alignment horizontal="right"/>
      <protection hidden="1"/>
    </xf>
    <xf numFmtId="167" fontId="1" fillId="9" borderId="0" xfId="0" applyNumberFormat="1" applyFont="1" applyFill="1" applyAlignment="1" applyProtection="1">
      <alignment horizontal="center"/>
      <protection hidden="1"/>
    </xf>
    <xf numFmtId="167" fontId="1" fillId="9" borderId="0" xfId="0" applyNumberFormat="1" applyFont="1" applyFill="1" applyAlignment="1">
      <alignment horizontal="center" vertical="center"/>
    </xf>
    <xf numFmtId="2" fontId="0" fillId="2" borderId="28" xfId="0" applyNumberFormat="1" applyFill="1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left"/>
      <protection hidden="1"/>
    </xf>
    <xf numFmtId="0" fontId="0" fillId="2" borderId="40" xfId="0" applyFill="1" applyBorder="1" applyAlignment="1" applyProtection="1">
      <alignment horizontal="center"/>
      <protection locked="0" hidden="1"/>
    </xf>
    <xf numFmtId="2" fontId="0" fillId="9" borderId="41" xfId="0" applyNumberFormat="1" applyFill="1" applyBorder="1" applyAlignment="1" applyProtection="1">
      <alignment horizontal="righ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56" xfId="0" applyBorder="1" applyAlignment="1" applyProtection="1">
      <alignment horizontal="left"/>
      <protection hidden="1"/>
    </xf>
    <xf numFmtId="1" fontId="1" fillId="9" borderId="57" xfId="0" applyNumberFormat="1" applyFont="1" applyFill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left"/>
      <protection hidden="1"/>
    </xf>
    <xf numFmtId="0" fontId="0" fillId="2" borderId="28" xfId="0" applyFill="1" applyBorder="1" applyAlignment="1" applyProtection="1">
      <alignment horizontal="center"/>
      <protection locked="0" hidden="1"/>
    </xf>
    <xf numFmtId="1" fontId="1" fillId="9" borderId="22" xfId="0" applyNumberFormat="1" applyFont="1" applyFill="1" applyBorder="1" applyAlignment="1" applyProtection="1">
      <alignment horizontal="center"/>
      <protection hidden="1"/>
    </xf>
    <xf numFmtId="1" fontId="1" fillId="9" borderId="26" xfId="0" applyNumberFormat="1" applyFont="1" applyFill="1" applyBorder="1" applyAlignment="1" applyProtection="1">
      <alignment horizontal="center"/>
      <protection hidden="1"/>
    </xf>
    <xf numFmtId="2" fontId="4" fillId="9" borderId="9" xfId="0" applyNumberFormat="1" applyFont="1" applyFill="1" applyBorder="1" applyProtection="1">
      <protection hidden="1"/>
    </xf>
    <xf numFmtId="2" fontId="1" fillId="9" borderId="0" xfId="0" applyNumberFormat="1" applyFont="1" applyFill="1" applyAlignment="1" applyProtection="1">
      <alignment horizontal="center" vertical="center"/>
      <protection locked="0"/>
    </xf>
    <xf numFmtId="2" fontId="0" fillId="9" borderId="10" xfId="0" applyNumberFormat="1" applyFill="1" applyBorder="1" applyAlignment="1" applyProtection="1">
      <alignment horizontal="right"/>
      <protection hidden="1"/>
    </xf>
    <xf numFmtId="167" fontId="1" fillId="9" borderId="0" xfId="0" applyNumberFormat="1" applyFont="1" applyFill="1" applyAlignment="1" applyProtection="1">
      <alignment horizontal="center"/>
      <protection locked="0"/>
    </xf>
    <xf numFmtId="167" fontId="1" fillId="9" borderId="0" xfId="0" applyNumberFormat="1" applyFont="1" applyFill="1" applyAlignment="1">
      <alignment horizontal="center"/>
    </xf>
    <xf numFmtId="2" fontId="0" fillId="9" borderId="26" xfId="0" applyNumberFormat="1" applyFill="1" applyBorder="1" applyProtection="1">
      <protection hidden="1"/>
    </xf>
    <xf numFmtId="0" fontId="0" fillId="0" borderId="54" xfId="0" applyBorder="1" applyProtection="1">
      <protection hidden="1"/>
    </xf>
    <xf numFmtId="0" fontId="0" fillId="0" borderId="59" xfId="0" applyBorder="1" applyProtection="1">
      <protection hidden="1"/>
    </xf>
    <xf numFmtId="2" fontId="0" fillId="9" borderId="60" xfId="0" applyNumberFormat="1" applyFill="1" applyBorder="1" applyProtection="1">
      <protection hidden="1"/>
    </xf>
    <xf numFmtId="2" fontId="1" fillId="9" borderId="0" xfId="0" applyNumberFormat="1" applyFont="1" applyFill="1" applyAlignment="1" applyProtection="1">
      <alignment horizontal="center"/>
      <protection hidden="1"/>
    </xf>
    <xf numFmtId="2" fontId="1" fillId="9" borderId="0" xfId="0" applyNumberFormat="1" applyFont="1" applyFill="1" applyAlignment="1" applyProtection="1">
      <alignment horizontal="center"/>
      <protection locked="0"/>
    </xf>
    <xf numFmtId="2" fontId="0" fillId="11" borderId="0" xfId="0" applyNumberFormat="1" applyFill="1"/>
    <xf numFmtId="1" fontId="1" fillId="9" borderId="17" xfId="0" applyNumberFormat="1" applyFont="1" applyFill="1" applyBorder="1" applyAlignment="1" applyProtection="1">
      <alignment horizontal="center"/>
      <protection hidden="1"/>
    </xf>
    <xf numFmtId="2" fontId="0" fillId="9" borderId="58" xfId="0" applyNumberFormat="1" applyFill="1" applyBorder="1" applyAlignment="1" applyProtection="1">
      <alignment horizontal="right"/>
      <protection hidden="1"/>
    </xf>
    <xf numFmtId="0" fontId="0" fillId="10" borderId="54" xfId="0" applyFill="1" applyBorder="1" applyProtection="1">
      <protection hidden="1"/>
    </xf>
    <xf numFmtId="1" fontId="1" fillId="9" borderId="61" xfId="0" applyNumberFormat="1" applyFont="1" applyFill="1" applyBorder="1" applyAlignment="1" applyProtection="1">
      <alignment horizontal="center"/>
      <protection hidden="1"/>
    </xf>
    <xf numFmtId="0" fontId="0" fillId="0" borderId="62" xfId="0" applyBorder="1" applyAlignment="1" applyProtection="1">
      <alignment horizontal="left"/>
      <protection hidden="1"/>
    </xf>
    <xf numFmtId="2" fontId="0" fillId="9" borderId="62" xfId="0" applyNumberFormat="1" applyFill="1" applyBorder="1" applyAlignment="1" applyProtection="1">
      <alignment horizontal="right"/>
      <protection hidden="1"/>
    </xf>
    <xf numFmtId="0" fontId="8" fillId="17" borderId="0" xfId="0" applyFont="1" applyFill="1"/>
    <xf numFmtId="164" fontId="8" fillId="17" borderId="0" xfId="0" applyNumberFormat="1" applyFont="1" applyFill="1"/>
    <xf numFmtId="168" fontId="2" fillId="0" borderId="0" xfId="0" quotePrefix="1" applyNumberFormat="1" applyFont="1"/>
    <xf numFmtId="168" fontId="0" fillId="0" borderId="0" xfId="0" applyNumberFormat="1"/>
    <xf numFmtId="2" fontId="0" fillId="2" borderId="31" xfId="0" applyNumberFormat="1" applyFill="1" applyBorder="1" applyAlignment="1" applyProtection="1">
      <alignment horizontal="center"/>
      <protection locked="0" hidden="1"/>
    </xf>
    <xf numFmtId="2" fontId="0" fillId="2" borderId="33" xfId="0" applyNumberFormat="1" applyFill="1" applyBorder="1" applyAlignment="1" applyProtection="1">
      <alignment horizontal="center"/>
      <protection locked="0" hidden="1"/>
    </xf>
    <xf numFmtId="0" fontId="0" fillId="2" borderId="22" xfId="0" applyFill="1" applyBorder="1" applyAlignment="1" applyProtection="1">
      <alignment horizontal="center"/>
      <protection locked="0" hidden="1"/>
    </xf>
    <xf numFmtId="0" fontId="0" fillId="2" borderId="24" xfId="0" applyFill="1" applyBorder="1" applyAlignment="1" applyProtection="1">
      <alignment horizontal="center"/>
      <protection locked="0" hidden="1"/>
    </xf>
    <xf numFmtId="0" fontId="0" fillId="2" borderId="26" xfId="0" applyFill="1" applyBorder="1" applyAlignment="1" applyProtection="1">
      <alignment horizontal="center"/>
      <protection locked="0" hidden="1"/>
    </xf>
    <xf numFmtId="0" fontId="0" fillId="2" borderId="17" xfId="0" applyFill="1" applyBorder="1" applyAlignment="1" applyProtection="1">
      <alignment horizontal="center"/>
      <protection locked="0" hidden="1"/>
    </xf>
    <xf numFmtId="0" fontId="5" fillId="0" borderId="0" xfId="0" applyFont="1" applyProtection="1">
      <protection locked="0"/>
    </xf>
    <xf numFmtId="1" fontId="1" fillId="2" borderId="55" xfId="0" applyNumberFormat="1" applyFont="1" applyFill="1" applyBorder="1" applyAlignment="1" applyProtection="1">
      <alignment horizontal="center"/>
      <protection locked="0" hidden="1"/>
    </xf>
    <xf numFmtId="2" fontId="0" fillId="2" borderId="28" xfId="0" applyNumberFormat="1" applyFill="1" applyBorder="1" applyAlignment="1" applyProtection="1">
      <alignment horizontal="right"/>
      <protection locked="0" hidden="1"/>
    </xf>
    <xf numFmtId="0" fontId="8" fillId="0" borderId="0" xfId="0" applyFont="1" applyProtection="1">
      <protection hidden="1"/>
    </xf>
    <xf numFmtId="0" fontId="0" fillId="0" borderId="64" xfId="0" applyBorder="1" applyAlignment="1" applyProtection="1">
      <alignment horizontal="left"/>
      <protection hidden="1"/>
    </xf>
    <xf numFmtId="1" fontId="1" fillId="9" borderId="65" xfId="0" applyNumberFormat="1" applyFont="1" applyFill="1" applyBorder="1" applyAlignment="1" applyProtection="1">
      <alignment horizontal="center"/>
      <protection hidden="1"/>
    </xf>
    <xf numFmtId="1" fontId="1" fillId="9" borderId="66" xfId="0" applyNumberFormat="1" applyFont="1" applyFill="1" applyBorder="1" applyAlignment="1" applyProtection="1">
      <alignment horizontal="center"/>
      <protection hidden="1"/>
    </xf>
    <xf numFmtId="2" fontId="0" fillId="9" borderId="26" xfId="0" applyNumberFormat="1" applyFill="1" applyBorder="1" applyAlignment="1" applyProtection="1">
      <alignment horizontal="right"/>
      <protection hidden="1"/>
    </xf>
    <xf numFmtId="0" fontId="9" fillId="0" borderId="0" xfId="0" applyFont="1" applyProtection="1">
      <protection hidden="1"/>
    </xf>
    <xf numFmtId="0" fontId="3" fillId="13" borderId="0" xfId="0" applyFont="1" applyFill="1" applyAlignment="1" applyProtection="1">
      <alignment horizontal="center"/>
      <protection hidden="1"/>
    </xf>
    <xf numFmtId="0" fontId="1" fillId="6" borderId="15" xfId="0" applyFont="1" applyFill="1" applyBorder="1" applyAlignment="1" applyProtection="1">
      <alignment horizontal="center"/>
      <protection hidden="1"/>
    </xf>
    <xf numFmtId="0" fontId="1" fillId="6" borderId="16" xfId="0" applyFont="1" applyFill="1" applyBorder="1" applyAlignment="1" applyProtection="1">
      <alignment horizontal="center"/>
      <protection hidden="1"/>
    </xf>
    <xf numFmtId="0" fontId="1" fillId="6" borderId="34" xfId="0" applyFont="1" applyFill="1" applyBorder="1" applyAlignment="1" applyProtection="1">
      <alignment horizontal="center"/>
      <protection hidden="1"/>
    </xf>
    <xf numFmtId="0" fontId="0" fillId="6" borderId="35" xfId="0" applyFill="1" applyBorder="1" applyAlignment="1" applyProtection="1">
      <alignment horizontal="center"/>
      <protection hidden="1"/>
    </xf>
    <xf numFmtId="0" fontId="1" fillId="7" borderId="34" xfId="0" applyFont="1" applyFill="1" applyBorder="1" applyAlignment="1" applyProtection="1">
      <alignment horizontal="center"/>
      <protection hidden="1"/>
    </xf>
    <xf numFmtId="0" fontId="0" fillId="7" borderId="35" xfId="0" applyFill="1" applyBorder="1" applyAlignment="1" applyProtection="1">
      <alignment horizontal="center"/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5" xfId="0" applyFont="1" applyFill="1" applyBorder="1" applyAlignment="1" applyProtection="1">
      <alignment horizontal="center"/>
      <protection hidden="1"/>
    </xf>
    <xf numFmtId="0" fontId="0" fillId="6" borderId="5" xfId="0" applyFill="1" applyBorder="1" applyAlignment="1" applyProtection="1">
      <alignment horizontal="center"/>
      <protection hidden="1"/>
    </xf>
    <xf numFmtId="0" fontId="3" fillId="13" borderId="14" xfId="0" applyFont="1" applyFill="1" applyBorder="1" applyAlignment="1" applyProtection="1">
      <alignment horizontal="center"/>
      <protection hidden="1"/>
    </xf>
    <xf numFmtId="0" fontId="1" fillId="13" borderId="63" xfId="0" applyFont="1" applyFill="1" applyBorder="1" applyAlignment="1" applyProtection="1">
      <alignment horizontal="center"/>
      <protection hidden="1"/>
    </xf>
    <xf numFmtId="0" fontId="0" fillId="13" borderId="63" xfId="0" applyFill="1" applyBorder="1" applyAlignment="1" applyProtection="1">
      <alignment horizontal="center"/>
      <protection hidden="1"/>
    </xf>
    <xf numFmtId="0" fontId="3" fillId="16" borderId="0" xfId="0" applyFont="1" applyFill="1" applyAlignment="1" applyProtection="1">
      <alignment horizontal="center"/>
      <protection hidden="1"/>
    </xf>
    <xf numFmtId="0" fontId="3" fillId="16" borderId="14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71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FF"/>
      <color rgb="FFFFDB69"/>
      <color rgb="FFCCFFCC"/>
      <color rgb="FFCCFF99"/>
      <color rgb="FF00FF00"/>
      <color rgb="FF00FFCC"/>
      <color rgb="FF66FFFF"/>
      <color rgb="FFFF0000"/>
      <color rgb="FFFF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549728</xdr:colOff>
      <xdr:row>25</xdr:row>
      <xdr:rowOff>72796</xdr:rowOff>
    </xdr:from>
    <xdr:to>
      <xdr:col>13</xdr:col>
      <xdr:colOff>95638</xdr:colOff>
      <xdr:row>37</xdr:row>
      <xdr:rowOff>58937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B36A763-AA8F-E64A-2C96-4F8493C4F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218" y="5266837"/>
          <a:ext cx="6823787" cy="2225488"/>
        </a:xfrm>
        <a:prstGeom prst="rect">
          <a:avLst/>
        </a:prstGeom>
        <a:noFill/>
        <a:ln>
          <a:solidFill>
            <a:schemeClr val="tx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297180</xdr:colOff>
      <xdr:row>7</xdr:row>
      <xdr:rowOff>83820</xdr:rowOff>
    </xdr:from>
    <xdr:to>
      <xdr:col>14</xdr:col>
      <xdr:colOff>269792</xdr:colOff>
      <xdr:row>22</xdr:row>
      <xdr:rowOff>25182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DC7B0B6-FAB5-C301-AE38-E10B43D84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7180" y="1729740"/>
          <a:ext cx="8507012" cy="2897922"/>
        </a:xfrm>
        <a:prstGeom prst="rect">
          <a:avLst/>
        </a:prstGeom>
      </xdr:spPr>
    </xdr:pic>
    <xdr:clientData/>
  </xdr:twoCellAnchor>
  <xdr:twoCellAnchor>
    <xdr:from>
      <xdr:col>3</xdr:col>
      <xdr:colOff>122065</xdr:colOff>
      <xdr:row>65</xdr:row>
      <xdr:rowOff>104182</xdr:rowOff>
    </xdr:from>
    <xdr:to>
      <xdr:col>10</xdr:col>
      <xdr:colOff>220025</xdr:colOff>
      <xdr:row>89</xdr:row>
      <xdr:rowOff>161255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BBFF0947-F36C-4B00-EE02-574CB2A27015}"/>
            </a:ext>
          </a:extLst>
        </xdr:cNvPr>
        <xdr:cNvGrpSpPr/>
      </xdr:nvGrpSpPr>
      <xdr:grpSpPr>
        <a:xfrm>
          <a:off x="1950865" y="12555262"/>
          <a:ext cx="4365160" cy="4446193"/>
          <a:chOff x="6700148" y="12241753"/>
          <a:chExt cx="4343389" cy="4535766"/>
        </a:xfrm>
      </xdr:grpSpPr>
      <xdr:pic>
        <xdr:nvPicPr>
          <xdr:cNvPr id="8" name="Picture 7">
            <a:extLst>
              <a:ext uri="{FF2B5EF4-FFF2-40B4-BE49-F238E27FC236}">
                <a16:creationId xmlns:a16="http://schemas.microsoft.com/office/drawing/2014/main" id="{362F47F5-70C5-8D26-6CAD-66C95E280B0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700148" y="12241753"/>
            <a:ext cx="4343389" cy="453576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cxnSp macro="">
        <xdr:nvCxnSpPr>
          <xdr:cNvPr id="11" name="Straight Arrow Connector 10">
            <a:extLst>
              <a:ext uri="{FF2B5EF4-FFF2-40B4-BE49-F238E27FC236}">
                <a16:creationId xmlns:a16="http://schemas.microsoft.com/office/drawing/2014/main" id="{946A98D5-68AC-1B11-BC3D-1EDDB99AF1BF}"/>
              </a:ext>
            </a:extLst>
          </xdr:cNvPr>
          <xdr:cNvCxnSpPr/>
        </xdr:nvCxnSpPr>
        <xdr:spPr>
          <a:xfrm flipV="1">
            <a:off x="9207414" y="16150195"/>
            <a:ext cx="1280771" cy="367581"/>
          </a:xfrm>
          <a:prstGeom prst="straightConnector1">
            <a:avLst/>
          </a:prstGeom>
          <a:ln w="31750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Straight Arrow Connector 12">
            <a:extLst>
              <a:ext uri="{FF2B5EF4-FFF2-40B4-BE49-F238E27FC236}">
                <a16:creationId xmlns:a16="http://schemas.microsoft.com/office/drawing/2014/main" id="{343337DD-617B-4F3A-B9D6-C306190D06B4}"/>
              </a:ext>
            </a:extLst>
          </xdr:cNvPr>
          <xdr:cNvCxnSpPr/>
        </xdr:nvCxnSpPr>
        <xdr:spPr>
          <a:xfrm>
            <a:off x="8629146" y="12604562"/>
            <a:ext cx="800820" cy="1197832"/>
          </a:xfrm>
          <a:prstGeom prst="straightConnector1">
            <a:avLst/>
          </a:prstGeom>
          <a:ln w="31750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3</xdr:col>
      <xdr:colOff>342120</xdr:colOff>
      <xdr:row>39</xdr:row>
      <xdr:rowOff>139959</xdr:rowOff>
    </xdr:from>
    <xdr:to>
      <xdr:col>11</xdr:col>
      <xdr:colOff>391177</xdr:colOff>
      <xdr:row>64</xdr:row>
      <xdr:rowOff>54429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4917E8-DCE5-3602-465B-AED0C8082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1589" y="7946571"/>
          <a:ext cx="4900976" cy="4579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3FC7-DD35-4527-B30F-FAAEC776B6D9}">
  <sheetPr codeName="Sheet1"/>
  <dimension ref="A1:Q110"/>
  <sheetViews>
    <sheetView zoomScaleNormal="100" workbookViewId="0"/>
  </sheetViews>
  <sheetFormatPr defaultRowHeight="14.4" x14ac:dyDescent="0.3"/>
  <cols>
    <col min="16" max="16" width="9.33203125" customWidth="1"/>
  </cols>
  <sheetData>
    <row r="1" spans="1:17" x14ac:dyDescent="0.3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</row>
    <row r="2" spans="1:17" ht="27.6" x14ac:dyDescent="0.65">
      <c r="B2" s="125" t="s">
        <v>111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</row>
    <row r="3" spans="1:17" x14ac:dyDescent="0.3">
      <c r="C3" s="124"/>
      <c r="G3" s="195"/>
      <c r="H3" s="195"/>
      <c r="I3" s="195"/>
      <c r="J3" s="124"/>
      <c r="K3" s="124"/>
      <c r="L3" s="124"/>
      <c r="M3" s="124"/>
      <c r="N3" s="124"/>
      <c r="O3" s="124"/>
      <c r="P3" s="124"/>
      <c r="Q3" s="124"/>
    </row>
    <row r="4" spans="1:17" ht="18" x14ac:dyDescent="0.35">
      <c r="A4" s="124"/>
      <c r="B4" s="126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</row>
    <row r="5" spans="1:17" ht="18" x14ac:dyDescent="0.35">
      <c r="A5" s="124"/>
      <c r="B5" s="126" t="s">
        <v>67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</row>
    <row r="6" spans="1:17" ht="18" x14ac:dyDescent="0.35">
      <c r="A6" s="124"/>
      <c r="B6" s="126" t="s">
        <v>68</v>
      </c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8" x14ac:dyDescent="0.35">
      <c r="A7" s="124"/>
      <c r="B7" s="126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8" x14ac:dyDescent="0.35">
      <c r="A8" s="124"/>
      <c r="B8" s="126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x14ac:dyDescent="0.3">
      <c r="A9" s="124"/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x14ac:dyDescent="0.3">
      <c r="A10" s="124"/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27.6" x14ac:dyDescent="0.65">
      <c r="A11" s="124"/>
      <c r="B11" s="124"/>
      <c r="C11" s="124"/>
      <c r="D11" s="124"/>
      <c r="E11" s="125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x14ac:dyDescent="0.3">
      <c r="A12" s="124"/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x14ac:dyDescent="0.3">
      <c r="A13" s="124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x14ac:dyDescent="0.3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x14ac:dyDescent="0.3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x14ac:dyDescent="0.3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x14ac:dyDescent="0.3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x14ac:dyDescent="0.3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x14ac:dyDescent="0.3">
      <c r="A19" s="124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x14ac:dyDescent="0.3">
      <c r="A20" s="124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x14ac:dyDescent="0.3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x14ac:dyDescent="0.3">
      <c r="A22" s="124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x14ac:dyDescent="0.3">
      <c r="A23" s="124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x14ac:dyDescent="0.3">
      <c r="A24" s="124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x14ac:dyDescent="0.3">
      <c r="A25" s="124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x14ac:dyDescent="0.3">
      <c r="A26" s="124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x14ac:dyDescent="0.3">
      <c r="A27" s="124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x14ac:dyDescent="0.3">
      <c r="A28" s="124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x14ac:dyDescent="0.3">
      <c r="A29" s="124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x14ac:dyDescent="0.3">
      <c r="A30" s="124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x14ac:dyDescent="0.3">
      <c r="A31" s="124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x14ac:dyDescent="0.3">
      <c r="A32" s="124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x14ac:dyDescent="0.3">
      <c r="A33" s="124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93" spans="2:2" x14ac:dyDescent="0.3">
      <c r="B93" t="s">
        <v>120</v>
      </c>
    </row>
    <row r="94" spans="2:2" x14ac:dyDescent="0.3">
      <c r="B94" t="s">
        <v>121</v>
      </c>
    </row>
    <row r="95" spans="2:2" x14ac:dyDescent="0.3">
      <c r="B95" t="s">
        <v>122</v>
      </c>
    </row>
    <row r="96" spans="2:2" x14ac:dyDescent="0.3">
      <c r="B96" t="s">
        <v>123</v>
      </c>
    </row>
    <row r="97" spans="2:2" x14ac:dyDescent="0.3">
      <c r="B97" t="s">
        <v>124</v>
      </c>
    </row>
    <row r="98" spans="2:2" x14ac:dyDescent="0.3">
      <c r="B98" t="s">
        <v>125</v>
      </c>
    </row>
    <row r="99" spans="2:2" x14ac:dyDescent="0.3">
      <c r="B99" t="s">
        <v>126</v>
      </c>
    </row>
    <row r="100" spans="2:2" x14ac:dyDescent="0.3">
      <c r="B100" t="s">
        <v>127</v>
      </c>
    </row>
    <row r="101" spans="2:2" x14ac:dyDescent="0.3">
      <c r="B101" t="s">
        <v>128</v>
      </c>
    </row>
    <row r="102" spans="2:2" x14ac:dyDescent="0.3">
      <c r="B102" t="s">
        <v>129</v>
      </c>
    </row>
    <row r="104" spans="2:2" x14ac:dyDescent="0.3">
      <c r="B104" t="s">
        <v>116</v>
      </c>
    </row>
    <row r="105" spans="2:2" x14ac:dyDescent="0.3">
      <c r="B105" t="s">
        <v>117</v>
      </c>
    </row>
    <row r="107" spans="2:2" x14ac:dyDescent="0.3">
      <c r="B107" t="s">
        <v>118</v>
      </c>
    </row>
    <row r="108" spans="2:2" x14ac:dyDescent="0.3">
      <c r="B108" t="s">
        <v>119</v>
      </c>
    </row>
    <row r="110" spans="2:2" x14ac:dyDescent="0.3">
      <c r="B110" s="200" t="s">
        <v>115</v>
      </c>
    </row>
  </sheetData>
  <sheetProtection algorithmName="SHA-512" hashValue="/pzrP1coHR57MUdl35BuOezCrJMDeBwXA1sMQ1V+GWjSyxYFaMwfqj+Rtsz6YGmavFII5aHwyuKNwbQqD59F4w==" saltValue="Hc6xpecgY4KpS/GouOTUvw==" spinCount="100000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03626-82E4-4F7E-85C1-76BB8D254C8D}">
  <sheetPr codeName="Sheet4"/>
  <dimension ref="A1:M29"/>
  <sheetViews>
    <sheetView tabSelected="1" zoomScale="90" zoomScaleNormal="90" workbookViewId="0">
      <selection activeCell="C3" sqref="C3"/>
    </sheetView>
  </sheetViews>
  <sheetFormatPr defaultColWidth="8.88671875" defaultRowHeight="14.4" x14ac:dyDescent="0.3"/>
  <cols>
    <col min="1" max="1" width="3.5546875" style="1" customWidth="1"/>
    <col min="2" max="2" width="27.6640625" style="1" customWidth="1"/>
    <col min="3" max="3" width="45.5546875" style="1" customWidth="1"/>
    <col min="4" max="4" width="3.88671875" style="1" customWidth="1"/>
    <col min="5" max="5" width="11.6640625" style="1" hidden="1" customWidth="1"/>
    <col min="6" max="6" width="11.33203125" style="1" hidden="1" customWidth="1"/>
    <col min="7" max="7" width="12.6640625" style="1" hidden="1" customWidth="1"/>
    <col min="8" max="8" width="9.5546875" style="1" hidden="1" customWidth="1"/>
    <col min="9" max="9" width="10.5546875" style="1" hidden="1" customWidth="1"/>
    <col min="10" max="11" width="8.88671875" style="1" hidden="1" customWidth="1"/>
    <col min="12" max="12" width="8.109375" style="1" hidden="1" customWidth="1"/>
    <col min="13" max="13" width="7.6640625" style="1" customWidth="1"/>
    <col min="14" max="19" width="8.88671875" style="1"/>
    <col min="20" max="20" width="9.33203125" style="1" bestFit="1" customWidth="1"/>
    <col min="21" max="16384" width="8.88671875" style="1"/>
  </cols>
  <sheetData>
    <row r="1" spans="1:13" ht="16.2" thickBot="1" x14ac:dyDescent="0.35">
      <c r="A1" s="102"/>
      <c r="B1" s="201" t="s">
        <v>95</v>
      </c>
      <c r="C1" s="201"/>
      <c r="D1" s="102"/>
    </row>
    <row r="2" spans="1:13" ht="15.6" thickTop="1" thickBot="1" x14ac:dyDescent="0.35">
      <c r="A2" s="102"/>
      <c r="B2" s="202" t="s">
        <v>21</v>
      </c>
      <c r="C2" s="203"/>
      <c r="D2" s="102"/>
      <c r="E2" s="1" t="s">
        <v>41</v>
      </c>
    </row>
    <row r="3" spans="1:13" x14ac:dyDescent="0.3">
      <c r="A3" s="102"/>
      <c r="B3" s="89" t="s">
        <v>34</v>
      </c>
      <c r="C3" s="186">
        <v>57</v>
      </c>
      <c r="D3" s="102"/>
      <c r="E3" s="2" t="s">
        <v>1</v>
      </c>
      <c r="F3" s="3" t="s">
        <v>39</v>
      </c>
      <c r="G3" s="1" t="s">
        <v>62</v>
      </c>
    </row>
    <row r="4" spans="1:13" ht="15" thickBot="1" x14ac:dyDescent="0.35">
      <c r="A4" s="102"/>
      <c r="B4" s="90" t="s">
        <v>107</v>
      </c>
      <c r="C4" s="187">
        <v>100</v>
      </c>
      <c r="D4" s="102"/>
      <c r="E4" s="1" cm="1">
        <f t="array" ref="E4">_xlfn.SWITCH(C7,  "Class0", 4, "Class1", 4, "Class2", 4, "Class3", 4, "Class4", 4, "Class5", 8, "Class6", 8, "Class7", 8, "Class8", 8,"NONE")</f>
        <v>8</v>
      </c>
      <c r="F4" s="16" cm="1">
        <f t="array" ref="F4">_xlfn.SWITCH(C7,  "Class0", 12.94, "Class1", 3.84, "Class2", 6.49, "Class3", 12.95, "Class4", 25.5, "Class5", 40, "Class6", 51, "Class7", 62, "Class8",  71.3, "NONE")</f>
        <v>71.3</v>
      </c>
      <c r="G4" s="2" t="s">
        <v>27</v>
      </c>
      <c r="H4" s="3" t="s">
        <v>28</v>
      </c>
      <c r="I4" s="2" t="s">
        <v>4</v>
      </c>
      <c r="J4" s="2" t="s">
        <v>4</v>
      </c>
    </row>
    <row r="5" spans="1:13" ht="15.6" thickTop="1" thickBot="1" x14ac:dyDescent="0.35">
      <c r="A5" s="102"/>
      <c r="B5" s="101"/>
      <c r="C5" s="104"/>
      <c r="D5" s="102"/>
      <c r="F5" s="16"/>
      <c r="G5" s="1" cm="1">
        <f t="array" ref="G5">_xlfn.SWITCH(C10, "CS Cat6a F/UTP Outdoor Cord (Recommended)",78,"CS Cat6 F/UTP Outdoor Cord",78, "CS Cat6a U/UTP Outdoor Cord",78, "CS Cat6 U/UTP Outdoor Cord",71, "Standards Compliant Outdoor Cord",71, "Standards Compliant Cat6/6a Channel",85, 85)</f>
        <v>78</v>
      </c>
      <c r="H5" s="1" cm="1">
        <f t="array" ref="H5">_xlfn.SWITCH(C10, "CS Cat6a F/UTP Outdoor Cord (Recommended)",83,"CS Cat6 F/UTP Outdoor Cord",83, "CS Cat6a U/UTP Outdoor Cord",83, "CS Cat6 U/UTP Outdoor Cord",83, "Standards Compliant Outdoor Cord",83, "Standards Compliant Cat6/6a Channel",100, 85)</f>
        <v>83</v>
      </c>
      <c r="I5" s="1" cm="1">
        <f t="array" ref="I5">_xlfn.SWITCH(C11,"20C (Underground/Ducted)",H5,"55C (Sunlight Exposed)",G5,H5)</f>
        <v>78</v>
      </c>
      <c r="J5" s="4" cm="1">
        <f t="array" ref="J5">_xlfn.SWITCH(C9,"Meters",I5,"Feet",INT(I5*3.28084),I5)</f>
        <v>78</v>
      </c>
    </row>
    <row r="6" spans="1:13" ht="15" customHeight="1" thickTop="1" thickBot="1" x14ac:dyDescent="0.35">
      <c r="A6" s="102"/>
      <c r="B6" s="204" t="s">
        <v>71</v>
      </c>
      <c r="C6" s="205"/>
      <c r="D6" s="102"/>
      <c r="F6" s="2" t="s">
        <v>2</v>
      </c>
      <c r="G6" s="2" t="s">
        <v>3</v>
      </c>
      <c r="H6" s="2" t="s">
        <v>5</v>
      </c>
    </row>
    <row r="7" spans="1:13" ht="14.4" customHeight="1" thickTop="1" x14ac:dyDescent="0.3">
      <c r="A7" s="102"/>
      <c r="B7" s="87" t="s">
        <v>22</v>
      </c>
      <c r="C7" s="188" t="s">
        <v>73</v>
      </c>
      <c r="D7" s="102"/>
      <c r="F7" s="1" cm="1">
        <f t="array" ref="F7">_xlfn.SWITCH(C10, "Standards Compliant Outdoor Cord",0.14,  "Standards Compliant Cat6/6a Channel", 0.125,0.0938)</f>
        <v>9.3799999999999994E-2</v>
      </c>
      <c r="G7" s="1" cm="1">
        <f t="array" ref="G7">_xlfn.SWITCH(C11,"55C (Sunlight Exposed)",55,"20C (Underground/Ducted)",20)</f>
        <v>55</v>
      </c>
      <c r="H7" s="5" cm="1">
        <f t="array" ref="H7">_xlfn.SWITCH(C9,"Meters",4/E4*C12*F7*(1+0.00393*(G7-20)),"Feet",4/E4*C12*F7*(1+0.00393*(G7-20))/3.28084,0)</f>
        <v>0.16005328499999999</v>
      </c>
    </row>
    <row r="8" spans="1:13" x14ac:dyDescent="0.3">
      <c r="A8" s="102"/>
      <c r="B8" s="88" t="str">
        <f>"Device Power "</f>
        <v xml:space="preserve">Device Power </v>
      </c>
      <c r="C8" s="81">
        <f>F4</f>
        <v>71.3</v>
      </c>
      <c r="D8" s="102"/>
    </row>
    <row r="9" spans="1:13" x14ac:dyDescent="0.3">
      <c r="A9" s="102"/>
      <c r="B9" s="82" t="s">
        <v>20</v>
      </c>
      <c r="C9" s="189" t="s">
        <v>25</v>
      </c>
      <c r="D9" s="102"/>
    </row>
    <row r="10" spans="1:13" x14ac:dyDescent="0.3">
      <c r="A10" s="102"/>
      <c r="B10" s="82" t="s">
        <v>23</v>
      </c>
      <c r="C10" s="189" t="s">
        <v>26</v>
      </c>
      <c r="D10" s="102"/>
      <c r="E10" s="2" t="s">
        <v>1</v>
      </c>
      <c r="F10" s="3" t="s">
        <v>39</v>
      </c>
      <c r="G10" s="1" t="s">
        <v>62</v>
      </c>
    </row>
    <row r="11" spans="1:13" x14ac:dyDescent="0.3">
      <c r="A11" s="102"/>
      <c r="B11" s="82" t="s">
        <v>24</v>
      </c>
      <c r="C11" s="189" t="s">
        <v>19</v>
      </c>
      <c r="D11" s="102"/>
      <c r="E11" s="1" cm="1">
        <f t="array" ref="E11">_xlfn.SWITCH(C14,  "OFF",8,"Class0", 4, "Class1", 4, "Class2", 4, "Class3", 4, "Class4", 4, "Class5", 8, "Class6", 8, "Class7", 8, "Class8", 8,"NONE")</f>
        <v>4</v>
      </c>
      <c r="F11" s="16" cm="1">
        <f t="array" ref="F11">_xlfn.SWITCH(C14,  "OFF",0,"Class0", 12.94, "Class1", 3.84, "Class2", 6.49, "Class3", 12.95, "Class4", 25.5, "Class5", 40, "Class6", 51, "Class7", 62, "Class8", 71.3, "NONE")</f>
        <v>6.49</v>
      </c>
      <c r="G11" s="2" t="s">
        <v>27</v>
      </c>
      <c r="H11" s="3" t="s">
        <v>28</v>
      </c>
      <c r="I11" s="2" t="s">
        <v>4</v>
      </c>
      <c r="J11" s="2" t="s">
        <v>4</v>
      </c>
    </row>
    <row r="12" spans="1:13" ht="15" thickBot="1" x14ac:dyDescent="0.35">
      <c r="A12" s="102"/>
      <c r="B12" s="83" t="str">
        <f>"Cable Length up to " &amp; J5 &amp; IF(C9="Meters","m","ft")</f>
        <v>Cable Length up to 78m</v>
      </c>
      <c r="C12" s="190">
        <v>3</v>
      </c>
      <c r="D12" s="102"/>
      <c r="G12" s="1" cm="1">
        <f t="array" ref="G12">_xlfn.SWITCH(C17, "CS Cat6a F/UTP Outdoor Cord (Recommended)",78,"CS Cat6 F/UTP Outdoor Cord",78, "CS Cat6a U/UTP Outdoor Cord",78, "CS Cat6 U/UTP Outdoor Cord",71, "Standards Compliant Outdoor Cord",71, "Standards Compliant Cat6/6a Channel",85, 85)</f>
        <v>78</v>
      </c>
      <c r="H12" s="1" cm="1">
        <f t="array" ref="H12">_xlfn.SWITCH(C17, "CS Cat6a F/UTP Outdoor Cord (Recommended)",83,"CS Cat6 F/UTP Outdoor Cord",83, "CS Cat6a U/UTP Outdoor Cord",83, "CS Cat6 U/UTP Outdoor Cord",83, "Standards Compliant Outdoor Cord",83, "Standards Compliant Cat6/6a Channel",100, 85)</f>
        <v>83</v>
      </c>
      <c r="I12" s="1" cm="1">
        <f t="array" ref="I12">_xlfn.SWITCH(C18,"20C (Underground/Ducted)",H12,"55C (Sunlight Exposed)",G12,H12)</f>
        <v>78</v>
      </c>
      <c r="J12" s="4" cm="1">
        <f t="array" ref="J12">_xlfn.SWITCH(C16,"Meters",I12,"Feet",INT(I12*3.28084),I12)</f>
        <v>78</v>
      </c>
    </row>
    <row r="13" spans="1:13" ht="15.6" thickTop="1" thickBot="1" x14ac:dyDescent="0.35">
      <c r="A13" s="102"/>
      <c r="B13" s="206" t="s">
        <v>72</v>
      </c>
      <c r="C13" s="207"/>
      <c r="D13" s="102"/>
      <c r="J13" s="4"/>
    </row>
    <row r="14" spans="1:13" ht="15" thickTop="1" x14ac:dyDescent="0.3">
      <c r="A14" s="102"/>
      <c r="B14" s="87" t="s">
        <v>22</v>
      </c>
      <c r="C14" s="188" t="s">
        <v>91</v>
      </c>
      <c r="D14" s="102"/>
      <c r="F14" s="2" t="s">
        <v>2</v>
      </c>
      <c r="G14" s="2" t="s">
        <v>3</v>
      </c>
      <c r="H14" s="2" t="s">
        <v>63</v>
      </c>
      <c r="M14" s="5"/>
    </row>
    <row r="15" spans="1:13" x14ac:dyDescent="0.3">
      <c r="A15" s="102"/>
      <c r="B15" s="88" t="str">
        <f>"Device Power  "</f>
        <v xml:space="preserve">Device Power  </v>
      </c>
      <c r="C15" s="81">
        <f>F11</f>
        <v>6.49</v>
      </c>
      <c r="D15" s="102"/>
      <c r="F15" s="1" cm="1">
        <f t="array" ref="F15">_xlfn.SWITCH(C17, "Standards Compliant Outdoor Cord",0.14,  "Standards Compliant Cat6/6a Channel", 0.125,0.0938)</f>
        <v>9.3799999999999994E-2</v>
      </c>
      <c r="G15" s="1" cm="1">
        <f t="array" ref="G15">_xlfn.SWITCH(C18,"55C (Sunlight Exposed)",55,"20C (Underground/Ducted)",20)</f>
        <v>55</v>
      </c>
      <c r="H15" s="5" cm="1">
        <f t="array" ref="H15">_xlfn.SWITCH(C16,"Meters",4/E11*C19*F15*(1+0.00393*(G15-20)),"Feet",4/E11*C19*F15*(1+0.00393*(G15-20))/3.28084,0)</f>
        <v>0.32010656999999998</v>
      </c>
      <c r="M15" s="5"/>
    </row>
    <row r="16" spans="1:13" x14ac:dyDescent="0.3">
      <c r="A16" s="102"/>
      <c r="B16" s="82" t="s">
        <v>20</v>
      </c>
      <c r="C16" s="189" t="s">
        <v>25</v>
      </c>
      <c r="D16" s="102"/>
      <c r="M16" s="5"/>
    </row>
    <row r="17" spans="1:13" x14ac:dyDescent="0.3">
      <c r="A17" s="102"/>
      <c r="B17" s="82" t="s">
        <v>23</v>
      </c>
      <c r="C17" s="189" t="s">
        <v>26</v>
      </c>
      <c r="D17" s="102"/>
      <c r="F17" s="1" t="s">
        <v>60</v>
      </c>
      <c r="M17" s="5"/>
    </row>
    <row r="18" spans="1:13" x14ac:dyDescent="0.3">
      <c r="A18" s="102"/>
      <c r="B18" s="82" t="s">
        <v>24</v>
      </c>
      <c r="C18" s="189" t="s">
        <v>19</v>
      </c>
      <c r="D18" s="102"/>
      <c r="F18" s="60" t="s">
        <v>6</v>
      </c>
      <c r="G18" s="60" t="s">
        <v>7</v>
      </c>
      <c r="H18" s="60" t="s">
        <v>8</v>
      </c>
      <c r="I18" s="60" t="s">
        <v>9</v>
      </c>
      <c r="J18" s="1" t="s">
        <v>51</v>
      </c>
      <c r="M18" s="5"/>
    </row>
    <row r="19" spans="1:13" ht="15" thickBot="1" x14ac:dyDescent="0.35">
      <c r="A19" s="102"/>
      <c r="B19" s="83" t="str">
        <f>"Cable Length  up to " &amp; J12 &amp; IF(C16="Meters","m","ft")</f>
        <v>Cable Length  up to 78m</v>
      </c>
      <c r="C19" s="190">
        <v>3</v>
      </c>
      <c r="D19" s="102"/>
      <c r="E19" s="4"/>
      <c r="F19" s="6">
        <f>0.5 * (G19 + SQRT(G19 ^ 2 - 4 *C8 *H7))</f>
        <v>51.779608235570606</v>
      </c>
      <c r="G19" s="6">
        <v>52</v>
      </c>
      <c r="H19" s="6">
        <f>C8/F19</f>
        <v>1.376989947000403</v>
      </c>
      <c r="I19" s="6">
        <f>G19*H19</f>
        <v>71.603477244020951</v>
      </c>
      <c r="J19" s="48" t="s">
        <v>10</v>
      </c>
      <c r="M19" s="5"/>
    </row>
    <row r="20" spans="1:13" ht="15.6" thickTop="1" thickBot="1" x14ac:dyDescent="0.35">
      <c r="A20" s="102"/>
      <c r="B20" s="103"/>
      <c r="C20" s="101"/>
      <c r="D20" s="102"/>
      <c r="F20" s="60" t="s">
        <v>6</v>
      </c>
      <c r="G20" s="60" t="s">
        <v>7</v>
      </c>
      <c r="H20" s="60" t="s">
        <v>8</v>
      </c>
      <c r="I20" s="60" t="s">
        <v>9</v>
      </c>
      <c r="J20" s="61">
        <f>((I19+I21)*1.075+7.5)+ 2/(I19+I21)</f>
        <v>91.481465244491446</v>
      </c>
    </row>
    <row r="21" spans="1:13" ht="15.6" thickTop="1" thickBot="1" x14ac:dyDescent="0.35">
      <c r="A21" s="102"/>
      <c r="B21" s="202" t="s">
        <v>98</v>
      </c>
      <c r="C21" s="203"/>
      <c r="D21" s="102"/>
      <c r="E21" s="4"/>
      <c r="F21" s="6">
        <f>0.5 * (G21 + SQRT(G21 ^ 2 - 4 *C15 *H15))</f>
        <v>51.960017495385088</v>
      </c>
      <c r="G21" s="6">
        <v>52</v>
      </c>
      <c r="H21" s="6">
        <f>C15/F21</f>
        <v>0.12490373007623448</v>
      </c>
      <c r="I21" s="6">
        <f>G21*H21</f>
        <v>6.4949939639641929</v>
      </c>
      <c r="J21" s="5"/>
      <c r="M21" s="5"/>
    </row>
    <row r="22" spans="1:13" x14ac:dyDescent="0.3">
      <c r="A22" s="102"/>
      <c r="B22" s="84" t="s">
        <v>29</v>
      </c>
      <c r="C22" s="191" t="s">
        <v>19</v>
      </c>
      <c r="D22" s="102"/>
      <c r="E22" s="2" t="s">
        <v>13</v>
      </c>
      <c r="F22" s="2" t="s">
        <v>15</v>
      </c>
      <c r="G22" s="2" t="s">
        <v>14</v>
      </c>
      <c r="H22" s="42" t="s">
        <v>11</v>
      </c>
      <c r="I22" s="42" t="s">
        <v>12</v>
      </c>
      <c r="J22" s="48" t="s">
        <v>0</v>
      </c>
    </row>
    <row r="23" spans="1:13" ht="15" thickBot="1" x14ac:dyDescent="0.35">
      <c r="A23" s="102"/>
      <c r="B23" s="85" t="s">
        <v>33</v>
      </c>
      <c r="C23" s="191" t="s">
        <v>35</v>
      </c>
      <c r="D23" s="102"/>
      <c r="E23" s="1" cm="1">
        <f t="array" ref="E23">_xlfn.SWITCH(C23,"12 AWG",12,"16 AWG",16,"20 AWG",20)</f>
        <v>12</v>
      </c>
      <c r="F23" s="1" cm="1">
        <f t="array" ref="F23">_xlfn.SWITCH(C22,"55C (Sunlight Exposed)",55,"20C (Underground/Ducted)",20)</f>
        <v>55</v>
      </c>
      <c r="G23" s="1">
        <f>0.000000017241/(PI()* (0.0635 * 92 ^ ((36 - E23) / 39) * 10 ^ -3) ^ 2)</f>
        <v>5.2106931015047184E-3</v>
      </c>
      <c r="H23" s="62">
        <f>(MAX(C3/2,25)/J20)*(C3-MAX(C3/2,25))</f>
        <v>8.8788477297471964</v>
      </c>
      <c r="I23" s="62">
        <f>(C3/C4)*(C3-C3*J20/C4)</f>
        <v>2.7676719420647333</v>
      </c>
      <c r="J23" s="49">
        <f>IF(C4&gt;=((J20/MAX(C3/2,25))^2*H23+J20),H23*0.95,I23*0.95)</f>
        <v>2.6292883449614965</v>
      </c>
    </row>
    <row r="24" spans="1:13" ht="15" thickTop="1" x14ac:dyDescent="0.3">
      <c r="A24" s="102"/>
      <c r="B24" s="158" t="s">
        <v>31</v>
      </c>
      <c r="C24" s="159">
        <f>ROUND(F26,0)</f>
        <v>222</v>
      </c>
      <c r="D24" s="102"/>
      <c r="H24" s="10"/>
      <c r="I24" s="63" t="s">
        <v>16</v>
      </c>
      <c r="J24" s="50">
        <f>0.5 * ($C$3 + SQRT($C$3 ^ 2 -4 *J23 *J20))</f>
        <v>52.410643020476435</v>
      </c>
    </row>
    <row r="25" spans="1:13" x14ac:dyDescent="0.3">
      <c r="A25" s="102"/>
      <c r="B25" s="196" t="s">
        <v>32</v>
      </c>
      <c r="C25" s="197">
        <f>ROUND(F27,0)</f>
        <v>728</v>
      </c>
      <c r="D25" s="102"/>
      <c r="H25" s="10"/>
      <c r="I25" s="64" t="s">
        <v>17</v>
      </c>
      <c r="J25" s="51">
        <f>IF(J23&gt;0,(C3-J24)/J23,0)</f>
        <v>1.74547496409747</v>
      </c>
    </row>
    <row r="26" spans="1:13" ht="15" thickBot="1" x14ac:dyDescent="0.35">
      <c r="A26" s="102"/>
      <c r="B26" s="160" t="s">
        <v>106</v>
      </c>
      <c r="C26" s="177">
        <f>J23</f>
        <v>2.6292883449614965</v>
      </c>
      <c r="D26" s="102"/>
      <c r="F26" s="173">
        <f>2*J23/(4*G23*(1 + 0.00393*(F23-20)))</f>
        <v>221.79013789409203</v>
      </c>
      <c r="H26" s="11"/>
      <c r="I26" s="64" t="s">
        <v>18</v>
      </c>
      <c r="J26" s="52">
        <f>C3*J25</f>
        <v>99.492072953555791</v>
      </c>
    </row>
    <row r="27" spans="1:13" ht="15.6" thickTop="1" thickBot="1" x14ac:dyDescent="0.35">
      <c r="A27" s="102"/>
      <c r="B27" s="171" t="s">
        <v>37</v>
      </c>
      <c r="C27" s="172">
        <f>J25</f>
        <v>1.74547496409747</v>
      </c>
      <c r="D27" s="102"/>
      <c r="F27" s="174">
        <f>3.28084 *F26</f>
        <v>727.65795600845286</v>
      </c>
      <c r="H27" s="10"/>
      <c r="I27" s="65" t="s">
        <v>61</v>
      </c>
      <c r="J27" s="53">
        <f>J25*(C3-J24)</f>
        <v>8.0106077090643684</v>
      </c>
    </row>
    <row r="28" spans="1:13" ht="15" thickBot="1" x14ac:dyDescent="0.35">
      <c r="A28" s="102"/>
      <c r="B28" s="86" t="s">
        <v>38</v>
      </c>
      <c r="C28" s="169">
        <f>J26</f>
        <v>99.492072953555791</v>
      </c>
      <c r="D28" s="102"/>
    </row>
    <row r="29" spans="1:13" ht="15" thickTop="1" x14ac:dyDescent="0.3">
      <c r="A29" s="102"/>
      <c r="B29" s="102"/>
      <c r="C29" s="102"/>
      <c r="D29" s="102"/>
    </row>
  </sheetData>
  <sheetProtection algorithmName="SHA-512" hashValue="iaaAWlcDDMlYyMjR2R4EURD5SKDWeol0VXbpI77rD9xdER3HJGE+X1Rmc1urKRHrE4Jwk1h7cwf2QIZZ0sx7cg==" saltValue="mcA8G553JHdUv8qJLS0pOw==" spinCount="100000" sheet="1" selectLockedCells="1"/>
  <mergeCells count="5">
    <mergeCell ref="B1:C1"/>
    <mergeCell ref="B2:C2"/>
    <mergeCell ref="B6:C6"/>
    <mergeCell ref="B21:C21"/>
    <mergeCell ref="B13:C13"/>
  </mergeCells>
  <conditionalFormatting sqref="C3">
    <cfRule type="cellIs" dxfId="70" priority="4" operator="greaterThan">
      <formula>57</formula>
    </cfRule>
    <cfRule type="cellIs" dxfId="69" priority="5" operator="lessThan">
      <formula>25</formula>
    </cfRule>
  </conditionalFormatting>
  <conditionalFormatting sqref="C4">
    <cfRule type="cellIs" dxfId="68" priority="11" operator="greaterThan">
      <formula>100</formula>
    </cfRule>
  </conditionalFormatting>
  <conditionalFormatting sqref="C8">
    <cfRule type="cellIs" dxfId="67" priority="115" operator="lessThan">
      <formula>1</formula>
    </cfRule>
    <cfRule type="cellIs" dxfId="66" priority="116" operator="greaterThan">
      <formula>F4</formula>
    </cfRule>
    <cfRule type="cellIs" dxfId="65" priority="117" operator="greaterThan">
      <formula>F3</formula>
    </cfRule>
  </conditionalFormatting>
  <conditionalFormatting sqref="C12">
    <cfRule type="cellIs" dxfId="64" priority="1" operator="greaterThan">
      <formula>$J$5</formula>
    </cfRule>
    <cfRule type="cellIs" dxfId="63" priority="2" operator="lessThan">
      <formula>1</formula>
    </cfRule>
  </conditionalFormatting>
  <conditionalFormatting sqref="C15">
    <cfRule type="cellIs" dxfId="62" priority="120" operator="lessThan">
      <formula>0</formula>
    </cfRule>
    <cfRule type="cellIs" dxfId="61" priority="121" operator="greaterThan">
      <formula>F11</formula>
    </cfRule>
  </conditionalFormatting>
  <conditionalFormatting sqref="C19">
    <cfRule type="cellIs" dxfId="60" priority="8" operator="lessThan">
      <formula>1</formula>
    </cfRule>
    <cfRule type="cellIs" dxfId="59" priority="9" operator="greaterThan">
      <formula>$J$12</formula>
    </cfRule>
  </conditionalFormatting>
  <conditionalFormatting sqref="C24:C25">
    <cfRule type="cellIs" dxfId="58" priority="13" operator="lessThan">
      <formula>1</formula>
    </cfRule>
  </conditionalFormatting>
  <conditionalFormatting sqref="C26:C28">
    <cfRule type="cellIs" dxfId="57" priority="12" operator="lessThan">
      <formula>0.005</formula>
    </cfRule>
  </conditionalFormatting>
  <conditionalFormatting sqref="F26">
    <cfRule type="cellIs" dxfId="56" priority="7" operator="lessThan">
      <formula>1</formula>
    </cfRule>
  </conditionalFormatting>
  <dataValidations count="7">
    <dataValidation type="list" allowBlank="1" showInputMessage="1" showErrorMessage="1" sqref="C7" xr:uid="{34DC8002-9009-4935-BBAF-390E2F0981EB}">
      <formula1>"Class0,Class1,Class2,Class3,Class4,Class5,Class6,Class7,Class8,"</formula1>
    </dataValidation>
    <dataValidation type="list" allowBlank="1" showInputMessage="1" showErrorMessage="1" sqref="C9 C16" xr:uid="{B025309E-9963-47A4-9435-8485365CD16B}">
      <formula1>"Meters, Feet"</formula1>
    </dataValidation>
    <dataValidation type="list" allowBlank="1" showInputMessage="1" showErrorMessage="1" sqref="C10 C17" xr:uid="{220E365D-C673-4AF0-AD84-9857DFB79CBA}">
      <formula1>"CS Cat6a F/UTP Outdoor Cord (Recommended),CS Cat6 F/UTP Outdoor Cord,CS Cat6a U/UTP Outdoor Cord,CS Cat6 U/UTP Outdoor Cord,Standards Compliant Outdoor Cord,Standards Compliant Cat6/6a Channel,"</formula1>
    </dataValidation>
    <dataValidation type="list" allowBlank="1" showInputMessage="1" showErrorMessage="1" sqref="C22 C11 C18" xr:uid="{EEA98E08-B941-495E-A0D4-5213290296B1}">
      <formula1>"20C (Underground/Ducted),55C (Sunlight Exposed),"</formula1>
    </dataValidation>
    <dataValidation type="list" allowBlank="1" showInputMessage="1" showErrorMessage="1" sqref="C23" xr:uid="{8EB7FFC7-241B-40B8-B616-B7843E4405A7}">
      <formula1>"12 AWG,16 AWG"</formula1>
    </dataValidation>
    <dataValidation type="decimal" allowBlank="1" showErrorMessage="1" error="OUT OF RANGE" sqref="C5" xr:uid="{7BDE0370-FD9B-4DCC-9102-1C23DF669F1F}">
      <formula1>10</formula1>
      <formula2>125</formula2>
    </dataValidation>
    <dataValidation type="list" allowBlank="1" showInputMessage="1" showErrorMessage="1" sqref="C14" xr:uid="{A77787BB-A60F-4410-A871-9FE1250A04F9}">
      <formula1>"OFF,Class0,Class1,Class2,Class3,Class4,Class5,Class6,Class7,Class8,"</formula1>
    </dataValidation>
  </dataValidations>
  <pageMargins left="0.7" right="0.7" top="0.75" bottom="0.75" header="0.3" footer="0.3"/>
  <pageSetup orientation="portrait" r:id="rId1"/>
  <ignoredErrors>
    <ignoredError sqref="C27:C2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35F78-1E86-453A-8AFD-93D6BBBC4B9B}">
  <sheetPr codeName="Sheet3"/>
  <dimension ref="A1:L30"/>
  <sheetViews>
    <sheetView zoomScale="90" zoomScaleNormal="90" workbookViewId="0">
      <selection activeCell="C3" sqref="C3"/>
    </sheetView>
  </sheetViews>
  <sheetFormatPr defaultColWidth="8.88671875" defaultRowHeight="14.4" x14ac:dyDescent="0.3"/>
  <cols>
    <col min="1" max="1" width="3.6640625" style="1" customWidth="1"/>
    <col min="2" max="2" width="27.6640625" style="1" customWidth="1"/>
    <col min="3" max="3" width="45.6640625" style="1" customWidth="1"/>
    <col min="4" max="4" width="4.109375" style="1" customWidth="1"/>
    <col min="5" max="5" width="11.6640625" hidden="1" customWidth="1"/>
    <col min="6" max="6" width="11.33203125" hidden="1" customWidth="1"/>
    <col min="7" max="7" width="12.6640625" hidden="1" customWidth="1"/>
    <col min="8" max="8" width="9.5546875" hidden="1" customWidth="1"/>
    <col min="9" max="9" width="10.5546875" hidden="1" customWidth="1"/>
    <col min="10" max="11" width="8.88671875" hidden="1" customWidth="1"/>
    <col min="12" max="12" width="8.109375" hidden="1" customWidth="1"/>
    <col min="13" max="19" width="8.88671875" style="1"/>
    <col min="20" max="20" width="9.33203125" style="1" bestFit="1" customWidth="1"/>
    <col min="21" max="16384" width="8.88671875" style="1"/>
  </cols>
  <sheetData>
    <row r="1" spans="1:10" ht="16.2" thickBot="1" x14ac:dyDescent="0.35">
      <c r="A1" s="102"/>
      <c r="B1" s="201" t="s">
        <v>96</v>
      </c>
      <c r="C1" s="201"/>
      <c r="D1" s="102"/>
    </row>
    <row r="2" spans="1:10" ht="15.6" thickTop="1" thickBot="1" x14ac:dyDescent="0.35">
      <c r="A2" s="102"/>
      <c r="B2" s="202" t="s">
        <v>21</v>
      </c>
      <c r="C2" s="203"/>
      <c r="D2" s="102"/>
      <c r="E2" t="s">
        <v>41</v>
      </c>
    </row>
    <row r="3" spans="1:10" x14ac:dyDescent="0.3">
      <c r="A3" s="102"/>
      <c r="B3" s="89" t="s">
        <v>34</v>
      </c>
      <c r="C3" s="186">
        <v>57</v>
      </c>
      <c r="D3" s="102"/>
      <c r="E3" s="18" t="s">
        <v>1</v>
      </c>
      <c r="F3" s="19" t="s">
        <v>39</v>
      </c>
      <c r="G3" t="s">
        <v>59</v>
      </c>
    </row>
    <row r="4" spans="1:10" ht="15" thickBot="1" x14ac:dyDescent="0.35">
      <c r="A4" s="102"/>
      <c r="B4" s="90" t="s">
        <v>107</v>
      </c>
      <c r="C4" s="187">
        <v>100</v>
      </c>
      <c r="D4" s="102"/>
      <c r="E4" cm="1">
        <f t="array" ref="E4">_xlfn.SWITCH(C7,  "Class0", 4, "Class1", 4, "Class2", 4, "Class3", 4, "Class4", 4, "Class5", 8, "Class6", 8, "Class7", 8, "Class8", 8,"NONE")</f>
        <v>4</v>
      </c>
      <c r="F4" s="16" cm="1">
        <f t="array" ref="F4">_xlfn.SWITCH(C7,  "Class0", 12.94, "Class1", 3.84, "Class2", 6.49, "Class3", 12.95, "Class4", 25.5, "Class5", 40, "Class6", 51, "Class7", 62, "Class8",  71.3, "NONE")</f>
        <v>25.5</v>
      </c>
      <c r="G4" s="18" t="s">
        <v>27</v>
      </c>
      <c r="H4" s="19" t="s">
        <v>28</v>
      </c>
      <c r="I4" s="18" t="s">
        <v>4</v>
      </c>
      <c r="J4" s="18" t="s">
        <v>4</v>
      </c>
    </row>
    <row r="5" spans="1:10" ht="15.6" thickTop="1" thickBot="1" x14ac:dyDescent="0.35">
      <c r="A5" s="102"/>
      <c r="B5" s="101"/>
      <c r="C5" s="104"/>
      <c r="D5" s="102"/>
      <c r="F5" s="16"/>
      <c r="G5" s="18"/>
      <c r="H5" s="19"/>
      <c r="I5" s="18"/>
      <c r="J5" s="18"/>
    </row>
    <row r="6" spans="1:10" ht="15" customHeight="1" thickTop="1" thickBot="1" x14ac:dyDescent="0.35">
      <c r="A6" s="102"/>
      <c r="B6" s="204" t="s">
        <v>71</v>
      </c>
      <c r="C6" s="205"/>
      <c r="D6" s="102"/>
      <c r="G6" cm="1">
        <f t="array" ref="G6">_xlfn.SWITCH(C10, "CS Cat6a F/UTP Outdoor Cord (Recommended)",78,"CS Cat6 F/UTP Outdoor Cord",78, "CS Cat6a U/UTP Outdoor Cord",78, "CS Cat6 U/UTP Outdoor Cord",71, "Standards Compliant Outdoor Cord",71, "Standards Compliant Cat6/6a Channel",85, 85)</f>
        <v>78</v>
      </c>
      <c r="H6" cm="1">
        <f t="array" ref="H6">_xlfn.SWITCH(C10, "CS Cat6a F/UTP Outdoor Cord (Recommended)",83,"CS Cat6 F/UTP Outdoor Cord",83, "CS Cat6a U/UTP Outdoor Cord",83, "CS Cat6 U/UTP Outdoor Cord",83, "Standards Compliant Outdoor Cord",83, "Standards Compliant Cat6/6a Channel",100, 85)</f>
        <v>83</v>
      </c>
      <c r="I6" cm="1">
        <f t="array" ref="I6">_xlfn.SWITCH(C11,"20C (Underground/Ducted)",H6,"55C (Sunlight Exposed)",G6,H6)</f>
        <v>78</v>
      </c>
      <c r="J6" s="23" cm="1">
        <f t="array" ref="J6">_xlfn.SWITCH(C9,"Meters",I6,"Feet",INT(I6*3.28084),I6)</f>
        <v>78</v>
      </c>
    </row>
    <row r="7" spans="1:10" ht="14.4" customHeight="1" thickTop="1" x14ac:dyDescent="0.3">
      <c r="A7" s="102"/>
      <c r="B7" s="87" t="s">
        <v>22</v>
      </c>
      <c r="C7" s="188" t="s">
        <v>36</v>
      </c>
      <c r="D7" s="102"/>
      <c r="F7" s="18" t="s">
        <v>2</v>
      </c>
      <c r="G7" s="18" t="s">
        <v>3</v>
      </c>
      <c r="H7" s="18" t="s">
        <v>5</v>
      </c>
    </row>
    <row r="8" spans="1:10" x14ac:dyDescent="0.3">
      <c r="A8" s="102"/>
      <c r="B8" s="88" t="str">
        <f>"Device Power "</f>
        <v xml:space="preserve">Device Power </v>
      </c>
      <c r="C8" s="81">
        <f>F4</f>
        <v>25.5</v>
      </c>
      <c r="D8" s="102"/>
      <c r="F8" cm="1">
        <f t="array" ref="F8">_xlfn.SWITCH(C10, "Standards Compliant Outdoor Cord",0.14,  "Standards Compliant Cat6/6a Channel", 0.125,0.0938)</f>
        <v>9.3799999999999994E-2</v>
      </c>
      <c r="G8" cm="1">
        <f t="array" ref="G8">_xlfn.SWITCH(C11,"55C (Sunlight Exposed)",55,"20C (Underground/Ducted)",20)</f>
        <v>55</v>
      </c>
      <c r="H8" s="17" cm="1">
        <f t="array" ref="H8">_xlfn.SWITCH(C9,"Meters",4/E4*C12*F8*(1+0.00393*(G8-20)),"Feet",4/E4*C12*F8*(1+0.00393*(G8-20))/3.28084,0)</f>
        <v>0.32010656999999998</v>
      </c>
    </row>
    <row r="9" spans="1:10" x14ac:dyDescent="0.3">
      <c r="A9" s="102"/>
      <c r="B9" s="82" t="s">
        <v>20</v>
      </c>
      <c r="C9" s="189" t="s">
        <v>25</v>
      </c>
      <c r="D9" s="102"/>
    </row>
    <row r="10" spans="1:10" x14ac:dyDescent="0.3">
      <c r="A10" s="102"/>
      <c r="B10" s="82" t="s">
        <v>23</v>
      </c>
      <c r="C10" s="189" t="s">
        <v>26</v>
      </c>
      <c r="D10" s="102"/>
      <c r="E10" s="18" t="s">
        <v>1</v>
      </c>
      <c r="F10" s="19" t="s">
        <v>39</v>
      </c>
      <c r="G10" t="s">
        <v>59</v>
      </c>
    </row>
    <row r="11" spans="1:10" x14ac:dyDescent="0.3">
      <c r="A11" s="102"/>
      <c r="B11" s="82" t="s">
        <v>24</v>
      </c>
      <c r="C11" s="189" t="s">
        <v>19</v>
      </c>
      <c r="D11" s="102"/>
      <c r="E11" cm="1">
        <f t="array" ref="E11">_xlfn.SWITCH(C14,  "OFF",4,"Class0", 4, "Class1", 4, "Class2", 4, "Class3", 4, "Class4", 4, "Class5", 8, "Class6", 8, "Class7", 8, "Class8", 8,"NONE")</f>
        <v>4</v>
      </c>
      <c r="F11" s="16" cm="1">
        <f t="array" ref="F11">_xlfn.SWITCH(C14, "OFF",0, "Class0", 12.94, "Class1", 3.84, "Class2", 6.49, "Class3", 12.95, "Class4", 25.5, "Class5", 40, "Class6", 51, "Class7", 62, "Class8", 71.3, "NONE")</f>
        <v>25.5</v>
      </c>
      <c r="G11" s="18" t="s">
        <v>27</v>
      </c>
      <c r="H11" s="19" t="s">
        <v>28</v>
      </c>
      <c r="I11" s="18" t="s">
        <v>4</v>
      </c>
      <c r="J11" s="18" t="s">
        <v>4</v>
      </c>
    </row>
    <row r="12" spans="1:10" ht="15" thickBot="1" x14ac:dyDescent="0.35">
      <c r="A12" s="102"/>
      <c r="B12" s="83" t="str">
        <f>"Cable Length up to " &amp; J6 &amp; IF(C9="Meters","m","ft")</f>
        <v>Cable Length up to 78m</v>
      </c>
      <c r="C12" s="190">
        <v>3</v>
      </c>
      <c r="D12" s="102"/>
      <c r="G12" cm="1">
        <f t="array" ref="G12">_xlfn.SWITCH(C17, "CS Cat6a F/UTP Outdoor Cord (Recommended)",78,"CS Cat6 F/UTP Outdoor Cord",78, "CS Cat6a U/UTP Outdoor Cord",78, "CS Cat6 U/UTP Outdoor Cord",71, "Standards Compliant Outdoor Cord",71, "Standards Compliant Cat6/6a Channel",85, 85)</f>
        <v>78</v>
      </c>
      <c r="H12" cm="1">
        <f t="array" ref="H12">_xlfn.SWITCH(C17, "CS Cat6a F/UTP Outdoor Cord (Recommended)",83,"CS Cat6 F/UTP Outdoor Cord",83, "CS Cat6a U/UTP Outdoor Cord",83, "CS Cat6 U/UTP Outdoor Cord",83, "Standards Compliant Outdoor Cord",83, "Standards Compliant Cat6/6a Channel",100, 85)</f>
        <v>83</v>
      </c>
      <c r="I12" cm="1">
        <f t="array" ref="I12">_xlfn.SWITCH(C18,"20C (Underground/Ducted)",H12,"55C (Sunlight Exposed)",G12,H12)</f>
        <v>78</v>
      </c>
      <c r="J12" s="23" cm="1">
        <f t="array" ref="J12">_xlfn.SWITCH(C16,"Meters",I12,"Feet",INT(I12*3.28084),I12)</f>
        <v>78</v>
      </c>
    </row>
    <row r="13" spans="1:10" ht="15.6" thickTop="1" thickBot="1" x14ac:dyDescent="0.35">
      <c r="A13" s="102"/>
      <c r="B13" s="206" t="s">
        <v>72</v>
      </c>
      <c r="C13" s="207"/>
      <c r="D13" s="102"/>
      <c r="J13" s="23"/>
    </row>
    <row r="14" spans="1:10" ht="15" thickTop="1" x14ac:dyDescent="0.3">
      <c r="A14" s="102"/>
      <c r="B14" s="87" t="s">
        <v>22</v>
      </c>
      <c r="C14" s="188" t="s">
        <v>36</v>
      </c>
      <c r="D14" s="102"/>
      <c r="F14" s="18" t="s">
        <v>2</v>
      </c>
      <c r="G14" s="18" t="s">
        <v>3</v>
      </c>
      <c r="H14" s="18" t="s">
        <v>63</v>
      </c>
    </row>
    <row r="15" spans="1:10" x14ac:dyDescent="0.3">
      <c r="A15" s="102"/>
      <c r="B15" s="88" t="str">
        <f>"Device Power  "</f>
        <v xml:space="preserve">Device Power  </v>
      </c>
      <c r="C15" s="81">
        <f>F11</f>
        <v>25.5</v>
      </c>
      <c r="D15" s="102"/>
      <c r="F15" cm="1">
        <f t="array" ref="F15">_xlfn.SWITCH(C17, "Standards Compliant Outdoor Cord",0.14,  "Standards Compliant Cat6/6a Channel", 0.125,0.0938)</f>
        <v>9.3799999999999994E-2</v>
      </c>
      <c r="G15" cm="1">
        <f t="array" ref="G15">_xlfn.SWITCH(C18,"55C (Sunlight Exposed)",55,"20C (Underground/Ducted)",20)</f>
        <v>55</v>
      </c>
      <c r="H15" s="17" cm="1">
        <f t="array" ref="H15">_xlfn.SWITCH(C16,"Meters",4/E11*C19*F15*(1+0.00393*(G15-20)),"Feet",4/E11*C19*F15*(1+0.00393*(G15-20))/3.28084,0)</f>
        <v>0.32010656999999998</v>
      </c>
    </row>
    <row r="16" spans="1:10" x14ac:dyDescent="0.3">
      <c r="A16" s="102"/>
      <c r="B16" s="82" t="s">
        <v>20</v>
      </c>
      <c r="C16" s="189" t="s">
        <v>25</v>
      </c>
      <c r="D16" s="102"/>
    </row>
    <row r="17" spans="1:10" x14ac:dyDescent="0.3">
      <c r="A17" s="102"/>
      <c r="B17" s="82" t="s">
        <v>23</v>
      </c>
      <c r="C17" s="189" t="s">
        <v>26</v>
      </c>
      <c r="D17" s="102"/>
      <c r="F17" s="1" t="s">
        <v>60</v>
      </c>
    </row>
    <row r="18" spans="1:10" x14ac:dyDescent="0.3">
      <c r="A18" s="102"/>
      <c r="B18" s="82" t="s">
        <v>24</v>
      </c>
      <c r="C18" s="189" t="s">
        <v>19</v>
      </c>
      <c r="D18" s="102"/>
      <c r="F18" s="59" t="s">
        <v>6</v>
      </c>
      <c r="G18" s="59" t="s">
        <v>7</v>
      </c>
      <c r="H18" s="59" t="s">
        <v>8</v>
      </c>
      <c r="I18" s="59" t="s">
        <v>9</v>
      </c>
      <c r="J18" t="s">
        <v>51</v>
      </c>
    </row>
    <row r="19" spans="1:10" ht="15" thickBot="1" x14ac:dyDescent="0.35">
      <c r="A19" s="102"/>
      <c r="B19" s="83" t="str">
        <f>"Cable Length up to " &amp; J12 &amp; IF(C16="Meters","m","ft")</f>
        <v>Cable Length up to 78m</v>
      </c>
      <c r="C19" s="190">
        <v>3</v>
      </c>
      <c r="D19" s="102"/>
      <c r="E19" s="23"/>
      <c r="F19" s="24">
        <f>0.5 * (G19 + SQRT(G19 ^ 2 - 4 *C8 *H8))</f>
        <v>49.836209100122346</v>
      </c>
      <c r="G19" s="24">
        <v>50</v>
      </c>
      <c r="H19" s="24">
        <f>C8/F19</f>
        <v>0.51167615796718768</v>
      </c>
      <c r="I19" s="24">
        <f>G19*H19</f>
        <v>25.583807898359385</v>
      </c>
      <c r="J19" s="44" t="s">
        <v>10</v>
      </c>
    </row>
    <row r="20" spans="1:10" ht="15.6" thickTop="1" thickBot="1" x14ac:dyDescent="0.35">
      <c r="A20" s="102"/>
      <c r="B20" s="103"/>
      <c r="C20" s="101"/>
      <c r="D20" s="102"/>
      <c r="F20" s="59" t="s">
        <v>6</v>
      </c>
      <c r="G20" s="59" t="s">
        <v>7</v>
      </c>
      <c r="H20" s="59" t="s">
        <v>8</v>
      </c>
      <c r="I20" s="59" t="s">
        <v>9</v>
      </c>
      <c r="J20" s="25">
        <f xml:space="preserve"> ((I19+I21) / 0.88) + 8.5</f>
        <v>66.645017950816793</v>
      </c>
    </row>
    <row r="21" spans="1:10" ht="15.6" thickTop="1" thickBot="1" x14ac:dyDescent="0.35">
      <c r="A21" s="102"/>
      <c r="B21" s="202" t="s">
        <v>98</v>
      </c>
      <c r="C21" s="203"/>
      <c r="D21" s="102"/>
      <c r="E21" s="23"/>
      <c r="F21" s="24">
        <f>0.5 * (G21 + SQRT(G21 ^ 2 - 4 *C15 *H15))</f>
        <v>49.836209100122346</v>
      </c>
      <c r="G21" s="24">
        <v>50</v>
      </c>
      <c r="H21" s="24">
        <f>C15/F21</f>
        <v>0.51167615796718768</v>
      </c>
      <c r="I21" s="24">
        <f>G21*H21</f>
        <v>25.583807898359385</v>
      </c>
      <c r="J21" s="17"/>
    </row>
    <row r="22" spans="1:10" x14ac:dyDescent="0.3">
      <c r="A22" s="102"/>
      <c r="B22" s="84" t="s">
        <v>29</v>
      </c>
      <c r="C22" s="191" t="s">
        <v>19</v>
      </c>
      <c r="D22" s="102"/>
      <c r="E22" s="18" t="s">
        <v>13</v>
      </c>
      <c r="F22" s="18" t="s">
        <v>15</v>
      </c>
      <c r="G22" s="18" t="s">
        <v>14</v>
      </c>
      <c r="H22" s="43" t="s">
        <v>11</v>
      </c>
      <c r="I22" s="43" t="s">
        <v>12</v>
      </c>
      <c r="J22" s="44" t="s">
        <v>0</v>
      </c>
    </row>
    <row r="23" spans="1:10" ht="15" thickBot="1" x14ac:dyDescent="0.35">
      <c r="A23" s="102"/>
      <c r="B23" s="85" t="s">
        <v>33</v>
      </c>
      <c r="C23" s="191" t="s">
        <v>35</v>
      </c>
      <c r="D23" s="102"/>
      <c r="E23" cm="1">
        <f t="array" ref="E23">_xlfn.SWITCH(C23,"12 AWG",12,"16 AWG",16,"20 AWG",20)</f>
        <v>12</v>
      </c>
      <c r="F23" cm="1">
        <f t="array" ref="F23">_xlfn.SWITCH(C22,"55C (Sunlight Exposed)",55,"20C (Underground/Ducted)",20)</f>
        <v>55</v>
      </c>
      <c r="G23">
        <f>0.000000017241/(PI()* (0.0635 * 92 ^ ((36 - E23) / 39) * 10 ^ -3) ^ 2)</f>
        <v>5.2106931015047184E-3</v>
      </c>
      <c r="H23" s="20">
        <f>(MAX(C3/2,25)/J20)*(C3-MAX(C3/2,25))</f>
        <v>12.187707723320452</v>
      </c>
      <c r="I23" s="20">
        <f>(C3/C4)*(C3-C3*J20/C4)</f>
        <v>10.83703366777962</v>
      </c>
      <c r="J23" s="45">
        <f>IF(C4&gt;=((J20/MAX(C3/2,25))^2*H23+J20),H23*0.95,I23*0.95)</f>
        <v>10.295181984390638</v>
      </c>
    </row>
    <row r="24" spans="1:10" ht="15" thickTop="1" x14ac:dyDescent="0.3">
      <c r="A24" s="102"/>
      <c r="B24" s="158" t="s">
        <v>31</v>
      </c>
      <c r="C24" s="159">
        <f>ROUND(F27,0)</f>
        <v>868</v>
      </c>
      <c r="D24" s="102"/>
      <c r="H24" s="22"/>
      <c r="I24" s="66" t="s">
        <v>16</v>
      </c>
      <c r="J24" s="46">
        <f>0.5 * ($C$3 + SQRT($C$3 ^ 2 -3.999 *J23 *J20))</f>
        <v>39.73828022832673</v>
      </c>
    </row>
    <row r="25" spans="1:10" x14ac:dyDescent="0.3">
      <c r="A25" s="102"/>
      <c r="B25" s="196" t="s">
        <v>32</v>
      </c>
      <c r="C25" s="197">
        <f>ROUND(F28,0)</f>
        <v>2849</v>
      </c>
      <c r="D25" s="102"/>
      <c r="H25" s="22"/>
      <c r="I25" s="67"/>
      <c r="J25" s="57"/>
    </row>
    <row r="26" spans="1:10" ht="15" thickBot="1" x14ac:dyDescent="0.35">
      <c r="A26" s="102"/>
      <c r="B26" s="160" t="s">
        <v>106</v>
      </c>
      <c r="C26" s="177">
        <f>J23</f>
        <v>10.295181984390638</v>
      </c>
      <c r="D26" s="102"/>
      <c r="F26" t="s">
        <v>89</v>
      </c>
      <c r="H26" s="27"/>
      <c r="I26" s="67" t="s">
        <v>17</v>
      </c>
      <c r="J26" s="47">
        <f>IF(J23&gt;0,(C3-J24)/J23,0)</f>
        <v>1.6766794212909657</v>
      </c>
    </row>
    <row r="27" spans="1:10" ht="15" thickTop="1" x14ac:dyDescent="0.3">
      <c r="A27" s="102"/>
      <c r="B27" s="171" t="s">
        <v>37</v>
      </c>
      <c r="C27" s="172">
        <f>J26</f>
        <v>1.6766794212909657</v>
      </c>
      <c r="D27" s="102"/>
      <c r="F27" s="151">
        <f>2*J23/(4*G23*(1 + 0.00393*(F23-20)))</f>
        <v>868.43644834100894</v>
      </c>
      <c r="H27" s="22"/>
      <c r="I27" s="67" t="s">
        <v>18</v>
      </c>
      <c r="J27" s="57">
        <f>C3*J26</f>
        <v>95.570727013585042</v>
      </c>
    </row>
    <row r="28" spans="1:10" ht="15" thickBot="1" x14ac:dyDescent="0.35">
      <c r="A28" s="102"/>
      <c r="B28" s="86" t="s">
        <v>38</v>
      </c>
      <c r="C28" s="169">
        <f>J27</f>
        <v>95.570727013585042</v>
      </c>
      <c r="D28" s="102"/>
      <c r="F28" s="168">
        <f>3.28084 *F27</f>
        <v>2849.2010371751157</v>
      </c>
      <c r="I28" s="65" t="s">
        <v>61</v>
      </c>
      <c r="J28" s="58">
        <f>J26*(C3-J24)</f>
        <v>28.942370317255961</v>
      </c>
    </row>
    <row r="29" spans="1:10" ht="15" thickTop="1" x14ac:dyDescent="0.3">
      <c r="A29" s="102"/>
      <c r="B29" s="102"/>
      <c r="C29" s="102"/>
      <c r="D29" s="102"/>
    </row>
    <row r="30" spans="1:10" ht="13.2" customHeight="1" x14ac:dyDescent="0.65">
      <c r="B30" s="41"/>
    </row>
  </sheetData>
  <sheetProtection algorithmName="SHA-512" hashValue="6gTcZG3CZfsg4N0EbToop9JnISbyOExENkA7uhlCwmlF94vIrGCPyBvafeDkkgC6i7lSpYryXm51qCcGhJsKSg==" saltValue="hV2y/NQOtSGs3xHuCj7eeg==" spinCount="100000" sheet="1" selectLockedCells="1"/>
  <mergeCells count="5">
    <mergeCell ref="B1:C1"/>
    <mergeCell ref="B2:C2"/>
    <mergeCell ref="B6:C6"/>
    <mergeCell ref="B21:C21"/>
    <mergeCell ref="B13:C13"/>
  </mergeCells>
  <conditionalFormatting sqref="C3">
    <cfRule type="cellIs" dxfId="55" priority="3" operator="greaterThan">
      <formula>57</formula>
    </cfRule>
    <cfRule type="cellIs" dxfId="54" priority="4" operator="lessThan">
      <formula>25</formula>
    </cfRule>
  </conditionalFormatting>
  <conditionalFormatting sqref="C4">
    <cfRule type="cellIs" dxfId="53" priority="1" operator="greaterThan">
      <formula>100</formula>
    </cfRule>
  </conditionalFormatting>
  <conditionalFormatting sqref="C8">
    <cfRule type="cellIs" dxfId="52" priority="120" operator="lessThan">
      <formula>1</formula>
    </cfRule>
    <cfRule type="cellIs" dxfId="51" priority="121" operator="greaterThan">
      <formula>F4</formula>
    </cfRule>
    <cfRule type="cellIs" dxfId="50" priority="122" operator="greaterThan">
      <formula>F3</formula>
    </cfRule>
  </conditionalFormatting>
  <conditionalFormatting sqref="C12">
    <cfRule type="cellIs" dxfId="49" priority="123" operator="lessThan">
      <formula>1</formula>
    </cfRule>
    <cfRule type="cellIs" dxfId="48" priority="124" operator="greaterThan">
      <formula>J6</formula>
    </cfRule>
  </conditionalFormatting>
  <conditionalFormatting sqref="C15">
    <cfRule type="cellIs" dxfId="47" priority="125" operator="lessThan">
      <formula>0</formula>
    </cfRule>
    <cfRule type="cellIs" dxfId="46" priority="126" operator="greaterThan">
      <formula>F11</formula>
    </cfRule>
  </conditionalFormatting>
  <conditionalFormatting sqref="C19">
    <cfRule type="cellIs" dxfId="45" priority="127" operator="greaterThan">
      <formula>$J$12</formula>
    </cfRule>
    <cfRule type="cellIs" dxfId="44" priority="128" operator="lessThan">
      <formula>1</formula>
    </cfRule>
  </conditionalFormatting>
  <conditionalFormatting sqref="C24:C25">
    <cfRule type="cellIs" dxfId="43" priority="19" operator="lessThan">
      <formula>1</formula>
    </cfRule>
  </conditionalFormatting>
  <conditionalFormatting sqref="C26:C28">
    <cfRule type="cellIs" dxfId="42" priority="9" operator="lessThan">
      <formula>0.005</formula>
    </cfRule>
  </conditionalFormatting>
  <dataValidations count="7">
    <dataValidation type="list" allowBlank="1" showInputMessage="1" showErrorMessage="1" sqref="C9 C16" xr:uid="{64D4E723-5254-4C90-A71A-F5D201D036E4}">
      <formula1>"Meters, Feet"</formula1>
    </dataValidation>
    <dataValidation type="list" allowBlank="1" showInputMessage="1" showErrorMessage="1" sqref="C10 C17" xr:uid="{6D9F2680-EBE4-4213-A2D0-3DBD807178D8}">
      <formula1>"CS Cat6a F/UTP Outdoor Cord (Recommended),CS Cat6 F/UTP Outdoor Cord,CS Cat6a U/UTP Outdoor Cord,CS Cat6 U/UTP Outdoor Cord,Standards Compliant Outdoor Cord,Standards Compliant Cat6/6a Channel,"</formula1>
    </dataValidation>
    <dataValidation type="list" allowBlank="1" showInputMessage="1" showErrorMessage="1" sqref="C7" xr:uid="{D820BE88-352F-473B-BC62-DA8AF8D0F718}">
      <formula1>"Class0,Class1,Class2,Class3,Class4,"</formula1>
    </dataValidation>
    <dataValidation type="list" allowBlank="1" showInputMessage="1" showErrorMessage="1" sqref="C22 C11 C18" xr:uid="{1483E73B-CD5E-4FE4-B507-329A35E31C32}">
      <formula1>"20C (Underground/Ducted),55C (Sunlight Exposed),"</formula1>
    </dataValidation>
    <dataValidation type="list" allowBlank="1" showInputMessage="1" showErrorMessage="1" sqref="C23" xr:uid="{89923ECE-EF88-4C8C-AF34-E75070E1F64B}">
      <formula1>"12 AWG,16 AWG"</formula1>
    </dataValidation>
    <dataValidation type="decimal" allowBlank="1" showErrorMessage="1" error="OUT OF RANGE" sqref="C5" xr:uid="{7BA8FD05-08D6-4B49-9F5C-933795C05D59}">
      <formula1>12.9</formula1>
      <formula2>100</formula2>
    </dataValidation>
    <dataValidation type="list" allowBlank="1" showInputMessage="1" showErrorMessage="1" sqref="C14" xr:uid="{CA269C94-8EAE-47A8-B2F4-F76C760AE800}">
      <formula1>"OFF,Class0,Class1,Class2,Class3,Class4,"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A6CC5-A8C3-497F-8817-36483295F560}">
  <sheetPr codeName="Sheet2"/>
  <dimension ref="A1:L25"/>
  <sheetViews>
    <sheetView zoomScale="90" zoomScaleNormal="90" workbookViewId="0">
      <selection activeCell="C3" sqref="C3"/>
    </sheetView>
  </sheetViews>
  <sheetFormatPr defaultColWidth="8.88671875" defaultRowHeight="14.4" x14ac:dyDescent="0.3"/>
  <cols>
    <col min="1" max="1" width="3.6640625" style="1" customWidth="1"/>
    <col min="2" max="2" width="27.5546875" style="1" customWidth="1"/>
    <col min="3" max="3" width="45" style="1" customWidth="1"/>
    <col min="4" max="4" width="4.109375" customWidth="1"/>
    <col min="5" max="12" width="12.33203125" style="1" hidden="1" customWidth="1"/>
    <col min="13" max="13" width="12.33203125" style="1" customWidth="1"/>
    <col min="14" max="19" width="8.88671875" style="1"/>
    <col min="20" max="20" width="9.33203125" style="1" bestFit="1" customWidth="1"/>
    <col min="21" max="16384" width="8.88671875" style="1"/>
  </cols>
  <sheetData>
    <row r="1" spans="1:10" ht="16.2" thickBot="1" x14ac:dyDescent="0.35">
      <c r="A1" s="102"/>
      <c r="B1" s="211" t="s">
        <v>97</v>
      </c>
      <c r="C1" s="211"/>
      <c r="D1" s="102"/>
    </row>
    <row r="2" spans="1:10" ht="15" thickBot="1" x14ac:dyDescent="0.35">
      <c r="A2" s="102"/>
      <c r="B2" s="208" t="s">
        <v>21</v>
      </c>
      <c r="C2" s="209"/>
      <c r="D2" s="102"/>
      <c r="E2" s="1" t="s">
        <v>41</v>
      </c>
    </row>
    <row r="3" spans="1:10" x14ac:dyDescent="0.3">
      <c r="A3" s="102"/>
      <c r="B3" s="91" t="s">
        <v>34</v>
      </c>
      <c r="C3" s="134">
        <v>57</v>
      </c>
      <c r="D3" s="102"/>
      <c r="E3" s="13" t="s">
        <v>1</v>
      </c>
      <c r="F3" s="13" t="s">
        <v>39</v>
      </c>
      <c r="G3" s="1" t="s">
        <v>59</v>
      </c>
    </row>
    <row r="4" spans="1:10" ht="15" thickBot="1" x14ac:dyDescent="0.35">
      <c r="A4" s="102"/>
      <c r="B4" s="92" t="s">
        <v>108</v>
      </c>
      <c r="C4" s="133">
        <v>100</v>
      </c>
      <c r="D4" s="102"/>
      <c r="E4" s="1" cm="1">
        <f t="array" ref="E4">_xlfn.SWITCH(C7,  "Class0", 4, "Class1", 4, "Class2", 4, "Class3", 4, "Class4", 4, "Class5", 8, "Class6", 8, "Class7", 8, "Class8", 8,"NONE")</f>
        <v>4</v>
      </c>
      <c r="F4" s="36" cm="1">
        <f t="array" ref="F4">_xlfn.SWITCH(C7,  "Class0", 12.94, "Class1", 3.84, "Class2", 6.49, "Class3", 12.95, "Class4", 25.5, "Class5", 40, "Class6", 51,  "NONE")</f>
        <v>25.5</v>
      </c>
      <c r="G4" s="2" t="s">
        <v>27</v>
      </c>
      <c r="H4" s="3" t="s">
        <v>28</v>
      </c>
      <c r="I4" s="2" t="s">
        <v>15</v>
      </c>
      <c r="J4" s="2" t="s">
        <v>40</v>
      </c>
    </row>
    <row r="5" spans="1:10" ht="15" thickBot="1" x14ac:dyDescent="0.35">
      <c r="A5" s="102"/>
      <c r="B5" s="105"/>
      <c r="C5" s="106"/>
      <c r="D5" s="102"/>
      <c r="F5" s="36"/>
      <c r="G5" s="1" cm="1">
        <f t="array" ref="G5">_xlfn.SWITCH(C10, "CS Cat6a F/UTP Outdoor Cord (Recommended)",78,"CS Cat6 F/UTP Outdoor Cord",78, "CS Cat6a U/UTP Outdoor Cord",78, "CS Cat6 U/UTP Outdoor Cord",71, "Standards Compliant Outdoor Cord",71, "Standards Compliant Cat6/6a Channel",85, 85)</f>
        <v>78</v>
      </c>
      <c r="H5" s="1" cm="1">
        <f t="array" ref="H5">_xlfn.SWITCH(C10, "CS Cat6a F/UTP Outdoor Cord (Recommended)",83,"CS Cat6 F/UTP Outdoor Cord",83, "CS Cat6a U/UTP Outdoor Cord",83, "CS Cat6 U/UTP Outdoor Cord",83, "Standards Compliant Outdoor Cord",83, "Standards Compliant Cat6/6a Channel",100, 85)</f>
        <v>83</v>
      </c>
      <c r="I5" s="1" cm="1">
        <f t="array" ref="I5">_xlfn.SWITCH(C11,"20C (Underground/Ducted)",H5,"55C (Sunlight Exposed)",G5,H5)</f>
        <v>78</v>
      </c>
      <c r="J5" s="4" cm="1">
        <f t="array" ref="J5">_xlfn.SWITCH(C9,"Meters",I5,"Feet",INT(I5*3.28084),I5)</f>
        <v>78</v>
      </c>
    </row>
    <row r="6" spans="1:10" ht="15" customHeight="1" thickBot="1" x14ac:dyDescent="0.35">
      <c r="A6" s="102"/>
      <c r="B6" s="208" t="s">
        <v>30</v>
      </c>
      <c r="C6" s="210"/>
      <c r="D6" s="102"/>
    </row>
    <row r="7" spans="1:10" ht="14.4" customHeight="1" x14ac:dyDescent="0.3">
      <c r="A7" s="102"/>
      <c r="B7" s="93" t="s">
        <v>22</v>
      </c>
      <c r="C7" s="107" t="s">
        <v>36</v>
      </c>
      <c r="D7" s="102"/>
    </row>
    <row r="8" spans="1:10" x14ac:dyDescent="0.3">
      <c r="A8" s="102"/>
      <c r="B8" s="94" t="str">
        <f>"Input Power  "</f>
        <v xml:space="preserve">Input Power  </v>
      </c>
      <c r="C8" s="97">
        <f>F4</f>
        <v>25.5</v>
      </c>
      <c r="D8" s="102"/>
    </row>
    <row r="9" spans="1:10" x14ac:dyDescent="0.3">
      <c r="A9" s="102"/>
      <c r="B9" s="95" t="s">
        <v>20</v>
      </c>
      <c r="C9" s="108" t="s">
        <v>25</v>
      </c>
      <c r="D9" s="102"/>
      <c r="E9" s="2" t="s">
        <v>2</v>
      </c>
      <c r="F9" s="2" t="s">
        <v>3</v>
      </c>
      <c r="G9" s="2" t="s">
        <v>63</v>
      </c>
    </row>
    <row r="10" spans="1:10" x14ac:dyDescent="0.3">
      <c r="A10" s="102"/>
      <c r="B10" s="95" t="s">
        <v>23</v>
      </c>
      <c r="C10" s="108" t="s">
        <v>26</v>
      </c>
      <c r="D10" s="102"/>
      <c r="E10" s="1" cm="1">
        <f t="array" ref="E10">_xlfn.SWITCH(C10, "Standards Compliant Outdoor Cord",0.14,  "Standards Compliant Cat6/6a Channel", 0.125,0.0938)</f>
        <v>9.3799999999999994E-2</v>
      </c>
      <c r="F10" s="1" cm="1">
        <f t="array" ref="F10">_xlfn.SWITCH(C11,"55C (Sunlight Exposed)",55,"20C (Underground/Ducted)",20)</f>
        <v>55</v>
      </c>
      <c r="G10" s="5" cm="1">
        <f t="array" ref="G10">_xlfn.SWITCH(C9,"Meters",4/E4*C12*E10*(1+0.00393*(F10-20)),"Feet",4/E4*C12*E10*(1+0.00393*(F10-20))/3.28084,0)</f>
        <v>5.3351094999999997</v>
      </c>
    </row>
    <row r="11" spans="1:10" x14ac:dyDescent="0.3">
      <c r="A11" s="102"/>
      <c r="B11" s="95" t="s">
        <v>24</v>
      </c>
      <c r="C11" s="108" t="s">
        <v>19</v>
      </c>
      <c r="D11" s="102"/>
    </row>
    <row r="12" spans="1:10" ht="15" thickBot="1" x14ac:dyDescent="0.35">
      <c r="A12" s="102"/>
      <c r="B12" s="96" t="str">
        <f>"Cable Length up to " &amp; J5 &amp; IF(C9="Meters","m","ft")</f>
        <v>Cable Length up to 78m</v>
      </c>
      <c r="C12" s="109">
        <v>50</v>
      </c>
      <c r="D12" s="102"/>
    </row>
    <row r="13" spans="1:10" ht="15" thickBot="1" x14ac:dyDescent="0.35">
      <c r="A13" s="102"/>
      <c r="B13" s="102"/>
      <c r="C13" s="102"/>
      <c r="D13" s="102"/>
      <c r="H13" s="5"/>
    </row>
    <row r="14" spans="1:10" ht="15" thickBot="1" x14ac:dyDescent="0.35">
      <c r="A14" s="102"/>
      <c r="B14" s="208" t="s">
        <v>98</v>
      </c>
      <c r="C14" s="209"/>
      <c r="D14" s="102"/>
      <c r="F14" s="1" t="s">
        <v>60</v>
      </c>
      <c r="J14" s="1" t="s">
        <v>51</v>
      </c>
    </row>
    <row r="15" spans="1:10" x14ac:dyDescent="0.3">
      <c r="A15" s="102"/>
      <c r="B15" s="98" t="s">
        <v>29</v>
      </c>
      <c r="C15" s="110" t="s">
        <v>19</v>
      </c>
      <c r="D15" s="102"/>
      <c r="F15" s="60" t="s">
        <v>6</v>
      </c>
      <c r="G15" s="60" t="s">
        <v>7</v>
      </c>
      <c r="H15" s="60" t="s">
        <v>8</v>
      </c>
      <c r="I15" s="60" t="s">
        <v>9</v>
      </c>
      <c r="J15" s="48" t="s">
        <v>10</v>
      </c>
    </row>
    <row r="16" spans="1:10" ht="15" thickBot="1" x14ac:dyDescent="0.35">
      <c r="A16" s="102"/>
      <c r="B16" s="154" t="s">
        <v>33</v>
      </c>
      <c r="C16" s="161" t="s">
        <v>35</v>
      </c>
      <c r="D16" s="102"/>
      <c r="E16" s="4"/>
      <c r="F16" s="6">
        <f>0.5 * (G16 + SQRT(G16 ^ 2 - 4 *C8 *G10))</f>
        <v>47.112320270609324</v>
      </c>
      <c r="G16" s="6">
        <v>50</v>
      </c>
      <c r="H16" s="6">
        <f>C8/F16</f>
        <v>0.54125969286866116</v>
      </c>
      <c r="I16" s="6">
        <f>G16*H16</f>
        <v>27.062984643433058</v>
      </c>
      <c r="J16" s="7">
        <f xml:space="preserve"> (I16 / 0.88) + 8.5</f>
        <v>39.253391640264837</v>
      </c>
    </row>
    <row r="17" spans="1:10" ht="15" thickTop="1" x14ac:dyDescent="0.3">
      <c r="A17" s="102"/>
      <c r="B17" s="158" t="s">
        <v>31</v>
      </c>
      <c r="C17" s="162">
        <f>ROUND(F22,0)</f>
        <v>1658</v>
      </c>
      <c r="D17" s="102"/>
      <c r="E17" s="2" t="s">
        <v>13</v>
      </c>
      <c r="F17" s="2" t="s">
        <v>15</v>
      </c>
      <c r="G17" s="2" t="s">
        <v>14</v>
      </c>
      <c r="H17" s="42" t="s">
        <v>11</v>
      </c>
      <c r="I17" s="42" t="s">
        <v>12</v>
      </c>
      <c r="J17" s="48" t="s">
        <v>0</v>
      </c>
    </row>
    <row r="18" spans="1:10" x14ac:dyDescent="0.3">
      <c r="A18" s="102"/>
      <c r="B18" s="196" t="s">
        <v>32</v>
      </c>
      <c r="C18" s="198">
        <f>ROUND(F23,0)</f>
        <v>5440</v>
      </c>
      <c r="D18" s="102"/>
      <c r="E18" s="2"/>
      <c r="F18" s="2"/>
      <c r="G18" s="2"/>
      <c r="H18" s="42"/>
      <c r="I18" s="42"/>
      <c r="J18" s="48"/>
    </row>
    <row r="19" spans="1:10" ht="15" thickBot="1" x14ac:dyDescent="0.35">
      <c r="A19" s="102"/>
      <c r="B19" s="160" t="s">
        <v>106</v>
      </c>
      <c r="C19" s="199">
        <f>J19</f>
        <v>19.657855480912879</v>
      </c>
      <c r="D19" s="102"/>
      <c r="E19" s="1" cm="1">
        <f t="array" ref="E19">_xlfn.SWITCH(C16,"12 AWG",12,"16 AWG",16,"20 AWG",20)</f>
        <v>12</v>
      </c>
      <c r="F19" s="1" cm="1">
        <f t="array" ref="F19">_xlfn.SWITCH(C15,"55C (Sunlight Exposed)",55,"20C (Underground/Ducted)",20)</f>
        <v>55</v>
      </c>
      <c r="G19" s="12">
        <f>0.000000017241/(PI()* (0.0635 * 92 ^ ((36 - E19) / 39) * 10 ^ -3) ^ 2)</f>
        <v>5.2106931015047184E-3</v>
      </c>
      <c r="H19" s="8">
        <f>(MAX(C3/2,25)/J16)*(C3-MAX(C3/2,25))</f>
        <v>20.692479453592505</v>
      </c>
      <c r="I19" s="8">
        <f>(C3/C4)*(C3-C3*J16/C4)</f>
        <v>19.736573056077955</v>
      </c>
      <c r="J19" s="49">
        <f>IF(C4&gt;=((J16/MAX(C3/2,25))^2*H19+J16),H19*0.95,I19*0.95)</f>
        <v>19.657855480912879</v>
      </c>
    </row>
    <row r="20" spans="1:10" ht="15" thickTop="1" x14ac:dyDescent="0.3">
      <c r="A20" s="102"/>
      <c r="B20" s="113" t="s">
        <v>37</v>
      </c>
      <c r="C20" s="156">
        <f>J21</f>
        <v>1.1248474601506058</v>
      </c>
      <c r="D20" s="102"/>
      <c r="H20" s="10"/>
      <c r="I20" s="54" t="s">
        <v>16</v>
      </c>
      <c r="J20" s="50">
        <f>0.5 * ($C$3 + SQRT($C$3 ^ 2 -3.999 *J19 *J16))</f>
        <v>34.887911190287483</v>
      </c>
    </row>
    <row r="21" spans="1:10" ht="15" thickBot="1" x14ac:dyDescent="0.35">
      <c r="A21" s="102"/>
      <c r="B21" s="100" t="s">
        <v>38</v>
      </c>
      <c r="C21" s="166">
        <f>J22</f>
        <v>64.116305228584523</v>
      </c>
      <c r="D21" s="102"/>
      <c r="H21" s="11"/>
      <c r="I21" s="55" t="s">
        <v>17</v>
      </c>
      <c r="J21" s="51">
        <f>IF(J19&gt;0,(C3-J20)/J19,0)</f>
        <v>1.1248474601506058</v>
      </c>
    </row>
    <row r="22" spans="1:10" x14ac:dyDescent="0.3">
      <c r="A22" s="102"/>
      <c r="B22" s="212" t="s">
        <v>105</v>
      </c>
      <c r="C22" s="213"/>
      <c r="D22" s="102"/>
      <c r="F22" s="151">
        <f>2*J19/(4*G19*(1 + 0.00393*(F19-20)))</f>
        <v>1658.2123775692799</v>
      </c>
      <c r="H22" s="10"/>
      <c r="I22" s="55" t="s">
        <v>18</v>
      </c>
      <c r="J22" s="52">
        <f>C3*J21</f>
        <v>64.116305228584523</v>
      </c>
    </row>
    <row r="23" spans="1:10" ht="15" thickBot="1" x14ac:dyDescent="0.35">
      <c r="D23" s="1"/>
      <c r="F23" s="167">
        <f>3.28084*F22</f>
        <v>5440.3294968243963</v>
      </c>
      <c r="I23" s="56" t="s">
        <v>61</v>
      </c>
      <c r="J23" s="53">
        <f>J21*(C3-J20)</f>
        <v>24.872726936229757</v>
      </c>
    </row>
    <row r="24" spans="1:10" ht="14.4" customHeight="1" x14ac:dyDescent="0.65">
      <c r="B24" s="192"/>
      <c r="D24" s="1"/>
    </row>
    <row r="25" spans="1:10" x14ac:dyDescent="0.3">
      <c r="D25" s="1"/>
      <c r="G25" s="12"/>
    </row>
  </sheetData>
  <sheetProtection algorithmName="SHA-512" hashValue="E1keFHQ/4f5v5b0lQLfo20YCSdZVD2BWtwDz4Y8k8Ir6JkK7KPMWqFFi/ma3ZzTTUUPmIQYtrPKwfCdp4peYlA==" saltValue="fIIlXDpAOfEroYrTiq5jcg==" spinCount="100000" sheet="1" objects="1" scenarios="1" selectLockedCells="1"/>
  <mergeCells count="5">
    <mergeCell ref="B14:C14"/>
    <mergeCell ref="B2:C2"/>
    <mergeCell ref="B6:C6"/>
    <mergeCell ref="B1:C1"/>
    <mergeCell ref="B22:C22"/>
  </mergeCells>
  <conditionalFormatting sqref="C3">
    <cfRule type="cellIs" dxfId="41" priority="7" operator="lessThan">
      <formula>25</formula>
    </cfRule>
    <cfRule type="cellIs" dxfId="40" priority="8" operator="greaterThan">
      <formula>57</formula>
    </cfRule>
  </conditionalFormatting>
  <conditionalFormatting sqref="C4">
    <cfRule type="cellIs" dxfId="39" priority="1" operator="greaterThan">
      <formula>100</formula>
    </cfRule>
  </conditionalFormatting>
  <conditionalFormatting sqref="C8">
    <cfRule type="cellIs" dxfId="38" priority="114" operator="lessThan">
      <formula>1</formula>
    </cfRule>
    <cfRule type="cellIs" dxfId="37" priority="115" operator="greaterThan">
      <formula>F4</formula>
    </cfRule>
  </conditionalFormatting>
  <conditionalFormatting sqref="C12">
    <cfRule type="cellIs" dxfId="36" priority="129" operator="lessThan">
      <formula>1</formula>
    </cfRule>
    <cfRule type="cellIs" dxfId="35" priority="130" operator="greaterThan">
      <formula>J5</formula>
    </cfRule>
  </conditionalFormatting>
  <conditionalFormatting sqref="C17:C18">
    <cfRule type="cellIs" dxfId="34" priority="11" operator="lessThan">
      <formula>1</formula>
    </cfRule>
  </conditionalFormatting>
  <conditionalFormatting sqref="C19:C21">
    <cfRule type="cellIs" dxfId="33" priority="4" operator="lessThan">
      <formula>0.005</formula>
    </cfRule>
  </conditionalFormatting>
  <dataValidations count="6">
    <dataValidation type="decimal" allowBlank="1" showErrorMessage="1" error="OUT OF RANGE" sqref="C3" xr:uid="{D1C38840-3B81-4891-B627-0E90903F0935}">
      <formula1>25</formula1>
      <formula2>57</formula2>
    </dataValidation>
    <dataValidation type="list" allowBlank="1" showInputMessage="1" showErrorMessage="1" sqref="C16" xr:uid="{838391DD-AEB5-4DDD-8DC2-988654AAFDC7}">
      <formula1>"12 AWG,16 AWG"</formula1>
    </dataValidation>
    <dataValidation type="list" allowBlank="1" showInputMessage="1" showErrorMessage="1" sqref="C15 C11" xr:uid="{191EA9DA-F941-482C-B100-B4DA90C64D31}">
      <formula1>"20C (Underground/Ducted),55C (Sunlight Exposed),"</formula1>
    </dataValidation>
    <dataValidation type="list" allowBlank="1" showInputMessage="1" showErrorMessage="1" sqref="C7" xr:uid="{C1D8F430-2244-49A5-9E68-E2343461E9A6}">
      <formula1>"Class0,Class1,Class2,Class3,Class4,Class5,Class6,"</formula1>
    </dataValidation>
    <dataValidation type="list" allowBlank="1" showInputMessage="1" showErrorMessage="1" sqref="C10" xr:uid="{82D90860-58E8-4079-8E56-F76CD89E080D}">
      <formula1>"CS Cat6a F/UTP Outdoor Cord (Recommended),CS Cat6 F/UTP Outdoor Cord,CS Cat6a U/UTP Outdoor Cord,CS Cat6 U/UTP Outdoor Cord,Standards Compliant Outdoor Cord,Standards Compliant Cat6/6a Channel,"</formula1>
    </dataValidation>
    <dataValidation type="list" allowBlank="1" showInputMessage="1" showErrorMessage="1" sqref="C9" xr:uid="{6B8D58B4-8AA3-4C18-AEDE-9BC8B98FDF84}">
      <formula1>"Meters, Feet"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0DA49-47CD-4B9D-8AB3-F62785B2576C}">
  <sheetPr codeName="Sheet7"/>
  <dimension ref="A1:L29"/>
  <sheetViews>
    <sheetView zoomScale="90" zoomScaleNormal="90" workbookViewId="0">
      <selection activeCell="C3" sqref="C3"/>
    </sheetView>
  </sheetViews>
  <sheetFormatPr defaultColWidth="8.88671875" defaultRowHeight="14.4" x14ac:dyDescent="0.3"/>
  <cols>
    <col min="1" max="1" width="4.109375" style="1" customWidth="1"/>
    <col min="2" max="2" width="25.33203125" style="1" customWidth="1"/>
    <col min="3" max="3" width="39.6640625" style="1" customWidth="1"/>
    <col min="4" max="4" width="4" style="1" customWidth="1"/>
    <col min="5" max="5" width="11.6640625" style="1" hidden="1" customWidth="1"/>
    <col min="6" max="6" width="13.33203125" style="1" hidden="1" customWidth="1"/>
    <col min="7" max="7" width="12.6640625" style="1" hidden="1" customWidth="1"/>
    <col min="8" max="8" width="11.109375" style="1" hidden="1" customWidth="1"/>
    <col min="9" max="9" width="10.5546875" style="1" hidden="1" customWidth="1"/>
    <col min="10" max="12" width="8.88671875" style="1" hidden="1" customWidth="1"/>
    <col min="13" max="19" width="8.88671875" style="1"/>
    <col min="20" max="20" width="9.33203125" style="1" bestFit="1" customWidth="1"/>
    <col min="21" max="16384" width="8.88671875" style="1"/>
  </cols>
  <sheetData>
    <row r="1" spans="1:11" ht="16.2" thickBot="1" x14ac:dyDescent="0.35">
      <c r="A1" s="102"/>
      <c r="B1" s="211" t="s">
        <v>109</v>
      </c>
      <c r="C1" s="211"/>
      <c r="D1" s="102"/>
    </row>
    <row r="2" spans="1:11" ht="15" thickBot="1" x14ac:dyDescent="0.35">
      <c r="A2" s="102"/>
      <c r="B2" s="208" t="s">
        <v>21</v>
      </c>
      <c r="C2" s="209"/>
      <c r="D2" s="102"/>
    </row>
    <row r="3" spans="1:11" x14ac:dyDescent="0.3">
      <c r="A3" s="102"/>
      <c r="B3" s="91" t="s">
        <v>34</v>
      </c>
      <c r="C3" s="134">
        <v>57</v>
      </c>
      <c r="D3" s="102"/>
      <c r="E3" s="1" t="s">
        <v>44</v>
      </c>
      <c r="F3" s="6"/>
      <c r="H3" s="6"/>
      <c r="I3" s="6"/>
      <c r="J3" s="5"/>
    </row>
    <row r="4" spans="1:11" ht="15" thickBot="1" x14ac:dyDescent="0.35">
      <c r="A4" s="102"/>
      <c r="B4" s="92" t="s">
        <v>108</v>
      </c>
      <c r="C4" s="133">
        <v>100</v>
      </c>
      <c r="D4" s="102"/>
      <c r="E4" s="2" t="s">
        <v>11</v>
      </c>
      <c r="F4" s="2" t="s">
        <v>12</v>
      </c>
      <c r="G4" s="2" t="s">
        <v>0</v>
      </c>
      <c r="H4" s="3" t="s">
        <v>49</v>
      </c>
      <c r="I4" s="15" t="s">
        <v>50</v>
      </c>
      <c r="J4" s="9"/>
      <c r="K4" s="9"/>
    </row>
    <row r="5" spans="1:11" ht="15" thickBot="1" x14ac:dyDescent="0.35">
      <c r="A5" s="102"/>
      <c r="B5" s="105"/>
      <c r="C5" s="106"/>
      <c r="D5" s="102"/>
      <c r="E5" s="8">
        <f>(MAX(47/2,C8)/C7)*(47-MAX(47/2,C8))</f>
        <v>0.97872340425531912</v>
      </c>
      <c r="F5" s="8">
        <f>(47/60)*(47-47*C7/60)</f>
        <v>7.9769444444444417</v>
      </c>
      <c r="G5" s="34">
        <f>IF(60&gt;=((C7/MAX(47/2,C8))^2*E5+C7),E5,F5)</f>
        <v>0.97872340425531912</v>
      </c>
      <c r="H5" s="5" cm="1">
        <f t="array" ref="H5">_xlfn.SWITCH(C9,"Feet",3.28084*G5/(2*F10*(1+0.00393*(G10-20))),"Meters",G5/(2*F10*(1+0.00393*(G10-20))),0)</f>
        <v>20.536270657317004</v>
      </c>
      <c r="I5" s="10">
        <f>0.5 * (47 + SQRT(47 ^ 2 -3.999 *G5 *C7))</f>
        <v>46.000255554104271</v>
      </c>
      <c r="J5" s="9"/>
      <c r="K5" s="9"/>
    </row>
    <row r="6" spans="1:11" ht="15" customHeight="1" thickBot="1" x14ac:dyDescent="0.35">
      <c r="A6" s="102"/>
      <c r="B6" s="208" t="s">
        <v>30</v>
      </c>
      <c r="C6" s="210"/>
      <c r="D6" s="102"/>
      <c r="J6" s="10"/>
      <c r="K6" s="9"/>
    </row>
    <row r="7" spans="1:11" x14ac:dyDescent="0.3">
      <c r="A7" s="102"/>
      <c r="B7" s="94" t="str">
        <f>"Device Power (1-60W) "</f>
        <v xml:space="preserve">Device Power (1-60W) </v>
      </c>
      <c r="C7" s="129">
        <v>47</v>
      </c>
      <c r="D7" s="102"/>
      <c r="H7" s="10"/>
      <c r="I7" s="14"/>
    </row>
    <row r="8" spans="1:11" x14ac:dyDescent="0.3">
      <c r="A8" s="102"/>
      <c r="B8" s="94" t="s">
        <v>70</v>
      </c>
      <c r="C8" s="129">
        <v>46</v>
      </c>
      <c r="D8" s="102"/>
    </row>
    <row r="9" spans="1:11" x14ac:dyDescent="0.3">
      <c r="A9" s="102"/>
      <c r="B9" s="113" t="s">
        <v>20</v>
      </c>
      <c r="C9" s="117" t="s">
        <v>25</v>
      </c>
      <c r="D9" s="102"/>
      <c r="E9" s="2" t="s">
        <v>48</v>
      </c>
      <c r="F9" s="2" t="s">
        <v>47</v>
      </c>
      <c r="G9" s="2" t="s">
        <v>46</v>
      </c>
      <c r="H9" s="2" t="s">
        <v>5</v>
      </c>
    </row>
    <row r="10" spans="1:11" x14ac:dyDescent="0.3">
      <c r="A10" s="102"/>
      <c r="B10" s="95" t="s">
        <v>23</v>
      </c>
      <c r="C10" s="108" t="s">
        <v>90</v>
      </c>
      <c r="D10" s="102"/>
      <c r="E10" s="1" cm="1">
        <f t="array" ref="E10">_xlfn.SWITCH(C10, "12 AWG",12,  "14 AWG", 14,"16 AWG",16,  "18 AWG", 18, 18)</f>
        <v>18</v>
      </c>
      <c r="F10" s="74">
        <f>0.000000017241 / (3.14159265 * (0.0635 * 92 ^ ((36 - E10) / 39) * 10 ^ -3) ^ 2)</f>
        <v>2.0947775160664879E-2</v>
      </c>
      <c r="G10" s="1" cm="1">
        <f t="array" ref="G10">_xlfn.SWITCH(C11,"55C (Sunlight Exposed)",55,"20C (Underground/Ducted)",20)</f>
        <v>55</v>
      </c>
      <c r="H10" s="73" cm="1">
        <f t="array" ref="H10">_xlfn.SWITCH(C9,"Meters",2*C12*F10*(1+0.00393*(G10-20)),"Feet",2*C12*F10*(1+0.00393*(G10-20))/3.28084,0)</f>
        <v>0.95316566536057334</v>
      </c>
    </row>
    <row r="11" spans="1:11" x14ac:dyDescent="0.3">
      <c r="A11" s="102"/>
      <c r="B11" s="95" t="s">
        <v>24</v>
      </c>
      <c r="C11" s="108" t="s">
        <v>19</v>
      </c>
      <c r="D11" s="102"/>
      <c r="F11" s="74"/>
    </row>
    <row r="12" spans="1:11" x14ac:dyDescent="0.3">
      <c r="A12" s="102"/>
      <c r="B12" s="178" t="str">
        <f>"Cable Length "&amp;"up to " &amp; ROUNDDOWN(H5,0) &amp; IF(C9="Meters","m","ft")</f>
        <v>Cable Length up to 20m</v>
      </c>
      <c r="C12" s="161">
        <v>20</v>
      </c>
      <c r="D12" s="102"/>
    </row>
    <row r="13" spans="1:11" ht="15" thickBot="1" x14ac:dyDescent="0.35">
      <c r="A13" s="102"/>
      <c r="B13" s="100" t="s">
        <v>93</v>
      </c>
      <c r="C13" s="166">
        <f>H10</f>
        <v>0.95316566536057334</v>
      </c>
      <c r="D13" s="102"/>
      <c r="E13" s="1" t="s">
        <v>45</v>
      </c>
    </row>
    <row r="14" spans="1:11" ht="15" thickBot="1" x14ac:dyDescent="0.35">
      <c r="A14" s="102"/>
      <c r="B14" s="102"/>
      <c r="C14" s="102"/>
      <c r="D14" s="102"/>
      <c r="F14" s="2" t="s">
        <v>7</v>
      </c>
      <c r="G14" s="2" t="s">
        <v>6</v>
      </c>
      <c r="H14" s="2" t="s">
        <v>8</v>
      </c>
      <c r="I14" s="2" t="s">
        <v>9</v>
      </c>
      <c r="J14" s="2" t="s">
        <v>10</v>
      </c>
      <c r="K14" s="4"/>
    </row>
    <row r="15" spans="1:11" ht="15" thickBot="1" x14ac:dyDescent="0.35">
      <c r="A15" s="102"/>
      <c r="B15" s="208" t="s">
        <v>98</v>
      </c>
      <c r="C15" s="209"/>
      <c r="D15" s="102"/>
      <c r="F15" s="6">
        <v>47</v>
      </c>
      <c r="G15" s="72">
        <f>0.5 * (F15 + SQRT(F15 ^ 2 - 4 *C7 *H10))</f>
        <v>46.026677822707299</v>
      </c>
      <c r="H15" s="6">
        <f>C7/G15</f>
        <v>1.021146913558304</v>
      </c>
      <c r="I15" s="72">
        <f>F15*H15</f>
        <v>47.993904937240288</v>
      </c>
      <c r="J15" s="71">
        <f xml:space="preserve"> (I15 / 0.88) + 8.5</f>
        <v>63.038528337773052</v>
      </c>
    </row>
    <row r="16" spans="1:11" x14ac:dyDescent="0.3">
      <c r="A16" s="102"/>
      <c r="B16" s="98" t="s">
        <v>29</v>
      </c>
      <c r="C16" s="110" t="s">
        <v>19</v>
      </c>
      <c r="D16" s="102"/>
      <c r="E16" s="2" t="s">
        <v>13</v>
      </c>
      <c r="F16" s="2" t="s">
        <v>15</v>
      </c>
      <c r="G16" s="2" t="s">
        <v>0</v>
      </c>
      <c r="H16" s="2" t="s">
        <v>11</v>
      </c>
      <c r="I16" s="2" t="s">
        <v>12</v>
      </c>
      <c r="J16" s="2" t="s">
        <v>14</v>
      </c>
    </row>
    <row r="17" spans="1:10" ht="15" thickBot="1" x14ac:dyDescent="0.35">
      <c r="A17" s="102"/>
      <c r="B17" s="154" t="s">
        <v>33</v>
      </c>
      <c r="C17" s="161" t="s">
        <v>35</v>
      </c>
      <c r="D17" s="102"/>
      <c r="E17" s="1" cm="1">
        <f t="array" ref="E17">_xlfn.SWITCH(C17,"12 AWG",12,"16 AWG",16,"20 AWG",20)</f>
        <v>12</v>
      </c>
      <c r="F17" s="1" cm="1">
        <f t="array" ref="F17">_xlfn.SWITCH(C16,"55C (Sunlight Exposed)",55,"20C (Underground/Ducted)",20)</f>
        <v>55</v>
      </c>
      <c r="G17" s="68">
        <f>IF(C4&gt;=((J15/MAX(C3/2,25))^2*H17+J15),H17*0.95,I17*0.95)</f>
        <v>11.408343035904657</v>
      </c>
      <c r="H17" s="69">
        <f>(MAX(C3/2,25)/J15)*(C3-MAX(C3/2,25))</f>
        <v>12.884977194388199</v>
      </c>
      <c r="I17" s="70">
        <f>(C3/C4)*(C3-C3*J15/C4)</f>
        <v>12.008782143057534</v>
      </c>
      <c r="J17" s="1">
        <f>0.000000017241/(PI()* (0.0635 * 92 ^ ((36 - E17) / 39) * 10 ^ -3) ^ 2)</f>
        <v>5.2106931015047184E-3</v>
      </c>
    </row>
    <row r="18" spans="1:10" ht="15" thickTop="1" x14ac:dyDescent="0.3">
      <c r="A18" s="102"/>
      <c r="B18" s="158" t="s">
        <v>31</v>
      </c>
      <c r="C18" s="162">
        <f>ROUND(F21,0)</f>
        <v>962</v>
      </c>
      <c r="D18" s="102"/>
      <c r="H18" s="10"/>
      <c r="I18" s="10"/>
    </row>
    <row r="19" spans="1:10" ht="15" thickBot="1" x14ac:dyDescent="0.35">
      <c r="A19" s="102"/>
      <c r="B19" s="85" t="s">
        <v>32</v>
      </c>
      <c r="C19" s="179">
        <f>ROUND(F22,0)</f>
        <v>3157</v>
      </c>
      <c r="D19" s="102"/>
      <c r="H19" s="11"/>
    </row>
    <row r="20" spans="1:10" ht="15" thickTop="1" x14ac:dyDescent="0.3">
      <c r="A20" s="102"/>
      <c r="B20" s="180" t="s">
        <v>92</v>
      </c>
      <c r="C20" s="181">
        <f>G17</f>
        <v>11.408343035904657</v>
      </c>
      <c r="D20" s="102"/>
      <c r="H20" s="11"/>
      <c r="I20" s="9" t="s">
        <v>16</v>
      </c>
      <c r="J20" s="77">
        <f>0.5 * ($C$3 + SQRT($C$3 ^ 2 -4 *G17 *J15))</f>
        <v>38.148048727286181</v>
      </c>
    </row>
    <row r="21" spans="1:10" x14ac:dyDescent="0.3">
      <c r="A21" s="102"/>
      <c r="B21" s="113" t="s">
        <v>37</v>
      </c>
      <c r="C21" s="156">
        <f>J21</f>
        <v>1.6524705834477829</v>
      </c>
      <c r="D21" s="102"/>
      <c r="F21" s="127">
        <f>2*G17/(4*J17*(1 + 0.00393*(F17-20)))</f>
        <v>962.33567532641678</v>
      </c>
      <c r="H21" s="10"/>
      <c r="I21" s="9" t="s">
        <v>17</v>
      </c>
      <c r="J21" s="76">
        <f>IF(G17&gt;0,(C3-J20)/G17,0)</f>
        <v>1.6524705834477829</v>
      </c>
    </row>
    <row r="22" spans="1:10" x14ac:dyDescent="0.3">
      <c r="A22" s="102"/>
      <c r="B22" s="115" t="s">
        <v>38</v>
      </c>
      <c r="C22" s="150">
        <f>J22</f>
        <v>94.190823256523629</v>
      </c>
      <c r="D22" s="102"/>
      <c r="F22" s="165">
        <f>3.28084 *F21</f>
        <v>3157.269377037921</v>
      </c>
      <c r="I22" s="9" t="s">
        <v>18</v>
      </c>
      <c r="J22" s="75">
        <f>C3*J21</f>
        <v>94.190823256523629</v>
      </c>
    </row>
    <row r="23" spans="1:10" x14ac:dyDescent="0.3">
      <c r="A23" s="102"/>
      <c r="B23" s="95" t="s">
        <v>64</v>
      </c>
      <c r="C23" s="164">
        <f>J23</f>
        <v>46.026677822707306</v>
      </c>
      <c r="D23" s="102"/>
      <c r="I23" s="9" t="s">
        <v>50</v>
      </c>
      <c r="J23" s="9">
        <f>47-H10*H15</f>
        <v>46.026677822707306</v>
      </c>
    </row>
    <row r="24" spans="1:10" ht="15" thickBot="1" x14ac:dyDescent="0.35">
      <c r="A24" s="102"/>
      <c r="B24" s="100" t="s">
        <v>65</v>
      </c>
      <c r="C24" s="116">
        <f>H15</f>
        <v>1.021146913558304</v>
      </c>
      <c r="D24" s="102"/>
      <c r="F24" s="79"/>
      <c r="G24" s="79"/>
      <c r="H24" s="79"/>
      <c r="I24" s="79"/>
    </row>
    <row r="25" spans="1:10" x14ac:dyDescent="0.3">
      <c r="A25" s="102"/>
      <c r="B25" s="102"/>
      <c r="C25" s="102"/>
      <c r="D25" s="102"/>
      <c r="F25" s="5"/>
      <c r="G25" s="5"/>
    </row>
    <row r="26" spans="1:10" x14ac:dyDescent="0.3">
      <c r="F26" s="5"/>
      <c r="G26" s="5"/>
    </row>
    <row r="27" spans="1:10" x14ac:dyDescent="0.3">
      <c r="G27" s="6"/>
    </row>
    <row r="28" spans="1:10" x14ac:dyDescent="0.3">
      <c r="G28" s="6"/>
    </row>
    <row r="29" spans="1:10" ht="14.4" customHeight="1" x14ac:dyDescent="0.65">
      <c r="B29" s="192"/>
    </row>
  </sheetData>
  <sheetProtection algorithmName="SHA-512" hashValue="rOgSsWlIi8nTZj/sD0iQGNSUqKnST0KqAvW4P1Zj6oEwiDiFu1r6+JAaPK49LIENsdGY/aG4i29kysRzuvcIiQ==" saltValue="jFVfaLXlm17fwCsFP3ORqw==" spinCount="100000" sheet="1" objects="1" scenarios="1" selectLockedCells="1"/>
  <mergeCells count="4">
    <mergeCell ref="B1:C1"/>
    <mergeCell ref="B2:C2"/>
    <mergeCell ref="B6:C6"/>
    <mergeCell ref="B15:C15"/>
  </mergeCells>
  <conditionalFormatting sqref="C3">
    <cfRule type="cellIs" dxfId="32" priority="11" operator="lessThan">
      <formula>25</formula>
    </cfRule>
    <cfRule type="cellIs" dxfId="31" priority="12" operator="greaterThan">
      <formula>57</formula>
    </cfRule>
  </conditionalFormatting>
  <conditionalFormatting sqref="C4">
    <cfRule type="cellIs" dxfId="30" priority="1" operator="greaterThan">
      <formula>100</formula>
    </cfRule>
  </conditionalFormatting>
  <conditionalFormatting sqref="C7">
    <cfRule type="cellIs" dxfId="29" priority="5" operator="greaterThan">
      <formula>60</formula>
    </cfRule>
  </conditionalFormatting>
  <conditionalFormatting sqref="C7:C8">
    <cfRule type="cellIs" dxfId="28" priority="90" operator="lessThan">
      <formula>1</formula>
    </cfRule>
  </conditionalFormatting>
  <conditionalFormatting sqref="C8">
    <cfRule type="cellIs" dxfId="27" priority="6" operator="greaterThan">
      <formula>47</formula>
    </cfRule>
  </conditionalFormatting>
  <conditionalFormatting sqref="C12">
    <cfRule type="cellIs" dxfId="26" priority="132" operator="greaterThan">
      <formula>H5</formula>
    </cfRule>
  </conditionalFormatting>
  <conditionalFormatting sqref="C12:C13">
    <cfRule type="cellIs" dxfId="25" priority="133" operator="lessThan">
      <formula>0</formula>
    </cfRule>
  </conditionalFormatting>
  <conditionalFormatting sqref="C18:C19">
    <cfRule type="cellIs" dxfId="24" priority="13" operator="lessThan">
      <formula>1</formula>
    </cfRule>
  </conditionalFormatting>
  <conditionalFormatting sqref="C20:C24">
    <cfRule type="cellIs" dxfId="23" priority="7" operator="lessThan">
      <formula>0.005</formula>
    </cfRule>
  </conditionalFormatting>
  <conditionalFormatting sqref="F21">
    <cfRule type="cellIs" dxfId="22" priority="3" operator="lessThan">
      <formula>1</formula>
    </cfRule>
  </conditionalFormatting>
  <dataValidations count="6">
    <dataValidation type="list" allowBlank="1" showInputMessage="1" showErrorMessage="1" sqref="C9" xr:uid="{F9446ACE-FFF8-4710-AB32-6AFCF34F44C7}">
      <formula1>"Meters, Feet"</formula1>
    </dataValidation>
    <dataValidation type="list" allowBlank="1" showInputMessage="1" showErrorMessage="1" sqref="C10" xr:uid="{E1015A99-9C57-4FBC-8F91-F5051B53A0B8}">
      <formula1>"12 AWG, 14 AWG, 16 AWG, 18 AWG"</formula1>
    </dataValidation>
    <dataValidation type="list" allowBlank="1" showInputMessage="1" showErrorMessage="1" sqref="C16 C11" xr:uid="{B4CFC325-EE0E-400C-B7D9-99EECD4E4535}">
      <formula1>"20C (Underground/Ducted),55C (Sunlight Exposed),"</formula1>
    </dataValidation>
    <dataValidation type="list" allowBlank="1" showInputMessage="1" showErrorMessage="1" sqref="C17" xr:uid="{2F13CEB7-5558-4F8A-A1CF-7EEAC7459B6B}">
      <formula1>"12 AWG,16 AWG"</formula1>
    </dataValidation>
    <dataValidation type="decimal" allowBlank="1" showErrorMessage="1" error="OUT OF RANGE" sqref="C3" xr:uid="{D84146EF-9E71-4A5F-999E-8ED5509C4EA0}">
      <formula1>25</formula1>
      <formula2>57</formula2>
    </dataValidation>
    <dataValidation type="decimal" errorStyle="information" operator="greaterThan" allowBlank="1" showInputMessage="1" showErrorMessage="1" error="Extender Power Limit Reached" sqref="G5" xr:uid="{28E423FF-B559-440F-A317-016541013243}">
      <formula1>0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0A6AC-86A7-4129-973C-82724B4FBB3D}">
  <sheetPr codeName="Sheet8"/>
  <dimension ref="A1:T29"/>
  <sheetViews>
    <sheetView zoomScale="90" zoomScaleNormal="90" workbookViewId="0">
      <selection activeCell="C3" sqref="C3"/>
    </sheetView>
  </sheetViews>
  <sheetFormatPr defaultColWidth="8.88671875" defaultRowHeight="14.4" x14ac:dyDescent="0.3"/>
  <cols>
    <col min="1" max="1" width="4.33203125" style="1" customWidth="1"/>
    <col min="2" max="2" width="25.33203125" style="1" customWidth="1"/>
    <col min="3" max="3" width="39.6640625" style="1" customWidth="1"/>
    <col min="4" max="4" width="3.88671875" style="1" customWidth="1"/>
    <col min="5" max="5" width="11.6640625" hidden="1" customWidth="1"/>
    <col min="6" max="6" width="11.33203125" hidden="1" customWidth="1"/>
    <col min="7" max="7" width="12.6640625" hidden="1" customWidth="1"/>
    <col min="8" max="8" width="9.5546875" hidden="1" customWidth="1"/>
    <col min="9" max="9" width="10.5546875" hidden="1" customWidth="1"/>
    <col min="10" max="10" width="8.88671875" hidden="1" customWidth="1"/>
    <col min="11" max="11" width="8.88671875" style="1" hidden="1" customWidth="1"/>
    <col min="12" max="12" width="8.88671875" hidden="1" customWidth="1"/>
    <col min="13" max="19" width="8.88671875" style="1"/>
    <col min="20" max="20" width="9.33203125" style="1" bestFit="1" customWidth="1"/>
  </cols>
  <sheetData>
    <row r="1" spans="1:12" ht="16.2" thickBot="1" x14ac:dyDescent="0.35">
      <c r="A1" s="102"/>
      <c r="B1" s="211" t="s">
        <v>110</v>
      </c>
      <c r="C1" s="211"/>
      <c r="D1" s="102"/>
    </row>
    <row r="2" spans="1:12" ht="15" thickBot="1" x14ac:dyDescent="0.35">
      <c r="A2" s="102"/>
      <c r="B2" s="208" t="s">
        <v>21</v>
      </c>
      <c r="C2" s="209"/>
      <c r="D2" s="102"/>
    </row>
    <row r="3" spans="1:12" x14ac:dyDescent="0.3">
      <c r="A3" s="102"/>
      <c r="B3" s="91" t="s">
        <v>34</v>
      </c>
      <c r="C3" s="134">
        <v>57</v>
      </c>
      <c r="D3" s="102"/>
      <c r="E3" t="s">
        <v>44</v>
      </c>
      <c r="F3" s="24"/>
      <c r="H3" s="24"/>
      <c r="I3" s="24"/>
      <c r="J3" s="17"/>
    </row>
    <row r="4" spans="1:12" ht="15" thickBot="1" x14ac:dyDescent="0.35">
      <c r="A4" s="102"/>
      <c r="B4" s="92" t="s">
        <v>108</v>
      </c>
      <c r="C4" s="133">
        <v>100</v>
      </c>
      <c r="D4" s="102"/>
      <c r="E4" s="18" t="s">
        <v>11</v>
      </c>
      <c r="F4" s="18" t="s">
        <v>12</v>
      </c>
      <c r="G4" s="18" t="s">
        <v>0</v>
      </c>
      <c r="H4" s="19" t="s">
        <v>49</v>
      </c>
      <c r="J4" s="37" t="s">
        <v>50</v>
      </c>
    </row>
    <row r="5" spans="1:12" ht="15" thickBot="1" x14ac:dyDescent="0.35">
      <c r="A5" s="102"/>
      <c r="B5" s="105"/>
      <c r="C5" s="106"/>
      <c r="D5" s="102"/>
      <c r="E5" s="20">
        <f>(MAX(10.5/2,C8)/C7)*(10.5-MAX(10.5/2,C8))</f>
        <v>0.68906250000000002</v>
      </c>
      <c r="F5" s="20">
        <f>(10.5/60)*(10.5-10.5*C7/60)</f>
        <v>0.61249999999999993</v>
      </c>
      <c r="G5" s="38">
        <f>IF(60&gt;=((C7/MAX(10.5/2,C8))^2*E5+C7),E5,F5)</f>
        <v>0.61249999999999993</v>
      </c>
      <c r="H5" s="39" cm="1">
        <f t="array" ref="H5">_xlfn.SWITCH(C9,"Feet",3.28084*G5/(2*F10*(1+0.00393*(G10-20))),"Meters",G5/(2*F10*(1+0.00393*(G10-20))),0)</f>
        <v>12.851899844956387</v>
      </c>
      <c r="J5" s="22">
        <f>0.5 * (10.5 + SQRT(10.5 ^ 2 -3.999 *G5 *C7))</f>
        <v>7.001749125873908</v>
      </c>
    </row>
    <row r="6" spans="1:12" ht="15" customHeight="1" thickBot="1" x14ac:dyDescent="0.35">
      <c r="A6" s="102"/>
      <c r="B6" s="208" t="s">
        <v>30</v>
      </c>
      <c r="C6" s="210"/>
      <c r="D6" s="102"/>
      <c r="L6" s="130"/>
    </row>
    <row r="7" spans="1:12" x14ac:dyDescent="0.3">
      <c r="A7" s="102"/>
      <c r="B7" s="94" t="str">
        <f>"Device Power (1-60W) "</f>
        <v xml:space="preserve">Device Power (1-60W) </v>
      </c>
      <c r="C7" s="129">
        <v>40</v>
      </c>
      <c r="D7" s="102"/>
    </row>
    <row r="8" spans="1:12" x14ac:dyDescent="0.3">
      <c r="A8" s="102"/>
      <c r="B8" s="94" t="s">
        <v>69</v>
      </c>
      <c r="C8" s="129">
        <v>5</v>
      </c>
      <c r="D8" s="102"/>
    </row>
    <row r="9" spans="1:12" x14ac:dyDescent="0.3">
      <c r="A9" s="102"/>
      <c r="B9" s="113" t="s">
        <v>20</v>
      </c>
      <c r="C9" s="117" t="s">
        <v>25</v>
      </c>
      <c r="D9" s="102"/>
      <c r="E9" s="18" t="s">
        <v>48</v>
      </c>
      <c r="F9" s="18" t="s">
        <v>47</v>
      </c>
      <c r="G9" s="18" t="s">
        <v>46</v>
      </c>
      <c r="H9" s="18" t="s">
        <v>5</v>
      </c>
    </row>
    <row r="10" spans="1:12" x14ac:dyDescent="0.3">
      <c r="A10" s="102"/>
      <c r="B10" s="95" t="s">
        <v>23</v>
      </c>
      <c r="C10" s="108" t="s">
        <v>90</v>
      </c>
      <c r="D10" s="102"/>
      <c r="E10" cm="1">
        <f t="array" ref="E10">_xlfn.SWITCH(C10, "12 AWG",12,  "14 AWG", 14,"16 AWG",16,  "18 AWG", 18,  "24 AWG", 24,18)</f>
        <v>18</v>
      </c>
      <c r="F10">
        <f>0.000000017241 / (3.14159 * (0.0635 * 92 ^ ((36 - E10) / 39) * 10 ^ -3) ^ 2)</f>
        <v>2.0947792830572215E-2</v>
      </c>
      <c r="G10" cm="1">
        <f t="array" ref="G10">_xlfn.SWITCH(C11,"55C (Sunlight Exposed)",55,"20C (Underground/Ducted)",20)</f>
        <v>55</v>
      </c>
      <c r="H10" s="40" cm="1">
        <f t="array" ref="H10">_xlfn.SWITCH(C9,"Meters",2*C12*F10*(1+0.00393*(G10-20)),"Feet",2*C12*F10*(1+0.00393*(G10-20))/3.28084,0)</f>
        <v>0.57189988162601824</v>
      </c>
    </row>
    <row r="11" spans="1:12" x14ac:dyDescent="0.3">
      <c r="A11" s="102"/>
      <c r="B11" s="95" t="s">
        <v>24</v>
      </c>
      <c r="C11" s="108" t="s">
        <v>19</v>
      </c>
      <c r="D11" s="102"/>
    </row>
    <row r="12" spans="1:12" x14ac:dyDescent="0.3">
      <c r="A12" s="102"/>
      <c r="B12" s="178" t="str">
        <f>"Cable Length "&amp;"up to " &amp; ROUNDDOWN(H5,0) &amp; IF(C9="Meters","m","ft")</f>
        <v>Cable Length up to 12m</v>
      </c>
      <c r="C12" s="161">
        <v>12</v>
      </c>
      <c r="D12" s="102"/>
      <c r="E12" t="s">
        <v>45</v>
      </c>
    </row>
    <row r="13" spans="1:12" ht="15" thickBot="1" x14ac:dyDescent="0.35">
      <c r="A13" s="102"/>
      <c r="B13" s="100" t="s">
        <v>93</v>
      </c>
      <c r="C13" s="166">
        <f>H10</f>
        <v>0.57189988162601824</v>
      </c>
      <c r="D13" s="102"/>
    </row>
    <row r="14" spans="1:12" ht="15" thickBot="1" x14ac:dyDescent="0.35">
      <c r="A14" s="102"/>
      <c r="B14" s="102"/>
      <c r="C14" s="102"/>
      <c r="D14" s="102"/>
      <c r="F14" s="18" t="s">
        <v>7</v>
      </c>
      <c r="G14" s="18" t="s">
        <v>6</v>
      </c>
      <c r="H14" s="18" t="s">
        <v>8</v>
      </c>
      <c r="I14" s="18" t="s">
        <v>9</v>
      </c>
      <c r="J14" s="18" t="s">
        <v>10</v>
      </c>
      <c r="K14" s="4"/>
    </row>
    <row r="15" spans="1:12" ht="15" thickBot="1" x14ac:dyDescent="0.35">
      <c r="A15" s="102"/>
      <c r="B15" s="208" t="s">
        <v>98</v>
      </c>
      <c r="C15" s="209"/>
      <c r="D15" s="102"/>
      <c r="F15" s="24">
        <v>10.5</v>
      </c>
      <c r="G15" s="24">
        <f>0.5 * (F15 + SQRT(F15 ^ 2 - 4 *C7 *H10))</f>
        <v>7.4148336506436863</v>
      </c>
      <c r="H15" s="24">
        <f>C7/G15</f>
        <v>5.3945916907424589</v>
      </c>
      <c r="I15" s="24">
        <f>F15*H15</f>
        <v>56.643212752795819</v>
      </c>
      <c r="J15" s="25">
        <f xml:space="preserve"> (I15 / 0.88) + 8.5</f>
        <v>72.867287219086151</v>
      </c>
    </row>
    <row r="16" spans="1:12" x14ac:dyDescent="0.3">
      <c r="A16" s="102"/>
      <c r="B16" s="98" t="s">
        <v>29</v>
      </c>
      <c r="C16" s="110" t="s">
        <v>19</v>
      </c>
      <c r="D16" s="102"/>
      <c r="E16" s="18" t="s">
        <v>13</v>
      </c>
      <c r="F16" s="18" t="s">
        <v>15</v>
      </c>
      <c r="G16" s="18" t="s">
        <v>0</v>
      </c>
      <c r="H16" s="18" t="s">
        <v>11</v>
      </c>
      <c r="I16" s="18" t="s">
        <v>12</v>
      </c>
      <c r="J16" s="18" t="s">
        <v>14</v>
      </c>
    </row>
    <row r="17" spans="1:10" ht="15" thickBot="1" x14ac:dyDescent="0.35">
      <c r="A17" s="102"/>
      <c r="B17" s="154" t="s">
        <v>33</v>
      </c>
      <c r="C17" s="161" t="s">
        <v>35</v>
      </c>
      <c r="D17" s="102"/>
      <c r="E17" cm="1">
        <f t="array" ref="E17">_xlfn.SWITCH(C17,"12 AWG",12,"16 AWG",16,"20 AWG",20)</f>
        <v>12</v>
      </c>
      <c r="F17" cm="1">
        <f t="array" ref="F17">_xlfn.SWITCH(C16,"55C (Sunlight Exposed)",55,"20C (Underground/Ducted)",20)</f>
        <v>55</v>
      </c>
      <c r="G17" s="21">
        <f>IF(C4&gt;=((J15/MAX(C3/2,25))^2*H17+J15),H17*0.95,I17*0.95)</f>
        <v>8.3746474633929608</v>
      </c>
      <c r="H17" s="20">
        <f>(MAX(C3/2,25)/J15)*(C3-MAX(C3/2,25))</f>
        <v>11.146977347432347</v>
      </c>
      <c r="I17" s="20">
        <f>(C3/C4)*(C3-C3*J15/C4)</f>
        <v>8.8154183825189065</v>
      </c>
      <c r="J17">
        <f>0.000000017241/(PI()* (0.0635 * 92 ^ ((36 - E17) / 39) * 10 ^ -3) ^ 2)</f>
        <v>5.2106931015047184E-3</v>
      </c>
    </row>
    <row r="18" spans="1:10" ht="15" thickTop="1" x14ac:dyDescent="0.3">
      <c r="A18" s="102"/>
      <c r="B18" s="158" t="s">
        <v>31</v>
      </c>
      <c r="C18" s="162">
        <f>ROUND(F21,0)</f>
        <v>706</v>
      </c>
      <c r="D18" s="102"/>
      <c r="H18" s="22"/>
      <c r="I18" s="22"/>
    </row>
    <row r="19" spans="1:10" ht="15" thickBot="1" x14ac:dyDescent="0.35">
      <c r="A19" s="102"/>
      <c r="B19" s="160" t="s">
        <v>32</v>
      </c>
      <c r="C19" s="163">
        <f>ROUND(F22,0)</f>
        <v>2318</v>
      </c>
      <c r="D19" s="102"/>
      <c r="E19" t="s">
        <v>94</v>
      </c>
      <c r="F19" t="s">
        <v>89</v>
      </c>
      <c r="H19" s="27"/>
      <c r="I19" s="26" t="s">
        <v>16</v>
      </c>
      <c r="J19" s="22">
        <f>0.5 * ($C$3 + SQRT($C$3 ^ 2 -4 *G17 *J15))</f>
        <v>42.713098111472874</v>
      </c>
    </row>
    <row r="20" spans="1:10" ht="15" thickTop="1" x14ac:dyDescent="0.3">
      <c r="A20" s="102"/>
      <c r="B20" s="180" t="s">
        <v>92</v>
      </c>
      <c r="C20" s="181">
        <f>G17</f>
        <v>8.3746474633929608</v>
      </c>
      <c r="D20" s="102"/>
      <c r="H20" s="27"/>
      <c r="I20" s="26"/>
      <c r="J20" s="22"/>
    </row>
    <row r="21" spans="1:10" x14ac:dyDescent="0.3">
      <c r="A21" s="102"/>
      <c r="B21" s="113" t="s">
        <v>37</v>
      </c>
      <c r="C21" s="156">
        <f>J21</f>
        <v>1.70597054395157</v>
      </c>
      <c r="D21" s="102"/>
      <c r="F21" s="151">
        <f>2*G17/(4*J17*(1 + 0.00393*(F17-20)))</f>
        <v>706.43230107481156</v>
      </c>
      <c r="H21" s="22"/>
      <c r="I21" s="26" t="s">
        <v>17</v>
      </c>
      <c r="J21" s="27">
        <f>IF(G17&gt;0,(C3-J19)/G17,0)</f>
        <v>1.70597054395157</v>
      </c>
    </row>
    <row r="22" spans="1:10" x14ac:dyDescent="0.3">
      <c r="A22" s="102"/>
      <c r="B22" s="115" t="s">
        <v>38</v>
      </c>
      <c r="C22" s="150">
        <f>J22</f>
        <v>97.240321005239494</v>
      </c>
      <c r="D22" s="102"/>
      <c r="F22" s="152">
        <f>3.28084 *F21</f>
        <v>2317.6913506582846</v>
      </c>
      <c r="I22" s="26" t="s">
        <v>18</v>
      </c>
      <c r="J22" s="22">
        <f>C3*J21</f>
        <v>97.240321005239494</v>
      </c>
    </row>
    <row r="23" spans="1:10" x14ac:dyDescent="0.3">
      <c r="A23" s="102"/>
      <c r="B23" s="94" t="s">
        <v>64</v>
      </c>
      <c r="C23" s="128">
        <f>J23</f>
        <v>7.4148336506436863</v>
      </c>
      <c r="D23" s="102"/>
      <c r="I23" s="26" t="s">
        <v>50</v>
      </c>
      <c r="J23" s="80">
        <f>10.5-H15*H10</f>
        <v>7.4148336506436863</v>
      </c>
    </row>
    <row r="24" spans="1:10" ht="15" thickBot="1" x14ac:dyDescent="0.35">
      <c r="A24" s="102"/>
      <c r="B24" s="114" t="s">
        <v>65</v>
      </c>
      <c r="C24" s="118">
        <f>H15</f>
        <v>5.3945916907424589</v>
      </c>
      <c r="D24" s="102"/>
      <c r="F24" s="78"/>
      <c r="G24" s="78"/>
      <c r="H24" s="78"/>
      <c r="I24" s="78"/>
    </row>
    <row r="25" spans="1:10" x14ac:dyDescent="0.3">
      <c r="A25" s="102"/>
      <c r="B25" s="102"/>
      <c r="C25" s="102"/>
      <c r="D25" s="102"/>
      <c r="F25" s="17"/>
      <c r="G25" s="17"/>
    </row>
    <row r="26" spans="1:10" x14ac:dyDescent="0.3">
      <c r="F26" s="17"/>
      <c r="G26" s="17"/>
    </row>
    <row r="27" spans="1:10" x14ac:dyDescent="0.3">
      <c r="G27" s="24"/>
    </row>
    <row r="28" spans="1:10" x14ac:dyDescent="0.3">
      <c r="G28" s="24"/>
    </row>
    <row r="29" spans="1:10" ht="15" customHeight="1" x14ac:dyDescent="0.65">
      <c r="B29" s="192"/>
    </row>
  </sheetData>
  <sheetProtection algorithmName="SHA-512" hashValue="a5cwk51wf3CKr5F3+qDWBmAyK1eTJIzXMnqw/5G/TYKfmkjvwFd38wfOP0rmthg+AQAfjCde3XSTv+l8oCUj1Q==" saltValue="Ba7AaiW0pks0DHhyL4W34Q==" spinCount="100000" sheet="1" selectLockedCells="1"/>
  <mergeCells count="4">
    <mergeCell ref="B1:C1"/>
    <mergeCell ref="B2:C2"/>
    <mergeCell ref="B6:C6"/>
    <mergeCell ref="B15:C15"/>
  </mergeCells>
  <conditionalFormatting sqref="C3">
    <cfRule type="cellIs" dxfId="21" priority="8" operator="lessThan">
      <formula>25</formula>
    </cfRule>
    <cfRule type="cellIs" dxfId="20" priority="12" operator="greaterThan">
      <formula>57</formula>
    </cfRule>
  </conditionalFormatting>
  <conditionalFormatting sqref="C4">
    <cfRule type="cellIs" dxfId="19" priority="6" operator="greaterThan">
      <formula>100</formula>
    </cfRule>
  </conditionalFormatting>
  <conditionalFormatting sqref="C7">
    <cfRule type="cellIs" dxfId="18" priority="5" operator="greaterThan">
      <formula>60</formula>
    </cfRule>
  </conditionalFormatting>
  <conditionalFormatting sqref="C7:C8">
    <cfRule type="cellIs" dxfId="17" priority="4" operator="lessThan">
      <formula>1</formula>
    </cfRule>
  </conditionalFormatting>
  <conditionalFormatting sqref="C8">
    <cfRule type="cellIs" dxfId="16" priority="16" operator="greaterThan">
      <formula>10.5</formula>
    </cfRule>
  </conditionalFormatting>
  <conditionalFormatting sqref="C12">
    <cfRule type="cellIs" dxfId="15" priority="3" operator="greaterThan">
      <formula>H5</formula>
    </cfRule>
  </conditionalFormatting>
  <conditionalFormatting sqref="C12:C13">
    <cfRule type="cellIs" dxfId="14" priority="139" operator="lessThan">
      <formula>0</formula>
    </cfRule>
  </conditionalFormatting>
  <conditionalFormatting sqref="C18:C19">
    <cfRule type="cellIs" dxfId="13" priority="1" operator="lessThan">
      <formula>1</formula>
    </cfRule>
  </conditionalFormatting>
  <conditionalFormatting sqref="C20:C24">
    <cfRule type="cellIs" dxfId="12" priority="9" operator="lessThan">
      <formula>0.005</formula>
    </cfRule>
  </conditionalFormatting>
  <dataValidations count="4">
    <dataValidation type="list" allowBlank="1" showInputMessage="1" showErrorMessage="1" sqref="C17" xr:uid="{4B4F9E1C-9403-43FF-A0F3-175F0003A7FA}">
      <formula1>"12 AWG,16 AWG"</formula1>
    </dataValidation>
    <dataValidation type="list" allowBlank="1" showInputMessage="1" showErrorMessage="1" sqref="C16 C11" xr:uid="{5A39522F-5EEF-4405-AC12-A9E041B2D189}">
      <formula1>"20C (Underground/Ducted),55C (Sunlight Exposed),"</formula1>
    </dataValidation>
    <dataValidation type="list" allowBlank="1" showInputMessage="1" showErrorMessage="1" sqref="C10" xr:uid="{3941BFC0-D2F1-44E6-BD91-582582321AE0}">
      <formula1>"12 AWG, 14 AWG, 16 AWG, 18 AWG"</formula1>
    </dataValidation>
    <dataValidation type="list" allowBlank="1" showInputMessage="1" showErrorMessage="1" sqref="C9" xr:uid="{B7932ADA-8BF0-4553-9143-4217E53BC271}">
      <formula1>"Meters, Feet"</formula1>
    </dataValidation>
  </dataValidation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52EBC-5ABC-42C8-816C-8ACF294C7C76}">
  <dimension ref="A1:L47"/>
  <sheetViews>
    <sheetView zoomScale="122" zoomScaleNormal="122" workbookViewId="0">
      <selection activeCell="B41" sqref="B41"/>
    </sheetView>
  </sheetViews>
  <sheetFormatPr defaultColWidth="8.88671875" defaultRowHeight="14.4" x14ac:dyDescent="0.3"/>
  <cols>
    <col min="1" max="1" width="4" style="1" customWidth="1"/>
    <col min="2" max="2" width="25.33203125" style="1" customWidth="1"/>
    <col min="3" max="3" width="39.6640625" style="1" customWidth="1"/>
    <col min="4" max="4" width="5.109375" style="1" customWidth="1"/>
    <col min="5" max="5" width="11.6640625" hidden="1" customWidth="1"/>
    <col min="6" max="6" width="11.33203125" hidden="1" customWidth="1"/>
    <col min="7" max="7" width="12.6640625" hidden="1" customWidth="1"/>
    <col min="8" max="8" width="11" hidden="1" customWidth="1"/>
    <col min="9" max="9" width="10.5546875" hidden="1" customWidth="1"/>
    <col min="10" max="10" width="8.88671875" hidden="1" customWidth="1"/>
    <col min="11" max="11" width="8.88671875" style="1" hidden="1" customWidth="1"/>
    <col min="12" max="12" width="7.88671875" style="1" hidden="1" customWidth="1"/>
    <col min="13" max="13" width="7" style="1" customWidth="1"/>
    <col min="14" max="19" width="8.88671875" style="1"/>
    <col min="20" max="20" width="9.33203125" style="1" bestFit="1" customWidth="1"/>
    <col min="21" max="16384" width="8.88671875" style="1"/>
  </cols>
  <sheetData>
    <row r="1" spans="1:10" ht="16.2" thickBot="1" x14ac:dyDescent="0.35">
      <c r="A1" s="102"/>
      <c r="B1" s="211" t="s">
        <v>112</v>
      </c>
      <c r="C1" s="211"/>
      <c r="D1" s="102"/>
    </row>
    <row r="2" spans="1:10" ht="15" thickBot="1" x14ac:dyDescent="0.35">
      <c r="A2" s="102"/>
      <c r="B2" s="208" t="s">
        <v>21</v>
      </c>
      <c r="C2" s="209"/>
      <c r="D2" s="102"/>
      <c r="E2" t="s">
        <v>58</v>
      </c>
    </row>
    <row r="3" spans="1:10" x14ac:dyDescent="0.3">
      <c r="A3" s="102"/>
      <c r="B3" s="91" t="s">
        <v>42</v>
      </c>
      <c r="C3" s="134">
        <v>57</v>
      </c>
      <c r="D3" s="102"/>
    </row>
    <row r="4" spans="1:10" ht="15" thickBot="1" x14ac:dyDescent="0.35">
      <c r="A4" s="102"/>
      <c r="B4" s="92" t="s">
        <v>80</v>
      </c>
      <c r="C4" s="133">
        <v>100</v>
      </c>
      <c r="D4" s="102"/>
      <c r="E4" s="18" t="s">
        <v>13</v>
      </c>
      <c r="F4" s="18" t="s">
        <v>15</v>
      </c>
      <c r="G4" s="18" t="s">
        <v>0</v>
      </c>
      <c r="H4" s="18" t="s">
        <v>11</v>
      </c>
      <c r="I4" s="18" t="s">
        <v>12</v>
      </c>
      <c r="J4" s="18" t="s">
        <v>14</v>
      </c>
    </row>
    <row r="5" spans="1:10" ht="15" thickBot="1" x14ac:dyDescent="0.35">
      <c r="A5" s="102"/>
      <c r="B5" s="105"/>
      <c r="C5" s="106"/>
      <c r="D5" s="102"/>
      <c r="E5" s="18"/>
      <c r="F5" s="18"/>
      <c r="G5" s="18"/>
      <c r="H5" s="18"/>
      <c r="I5" s="18"/>
      <c r="J5" s="18"/>
    </row>
    <row r="6" spans="1:10" ht="15" customHeight="1" thickBot="1" x14ac:dyDescent="0.35">
      <c r="A6" s="102"/>
      <c r="B6" s="208" t="s">
        <v>66</v>
      </c>
      <c r="C6" s="210"/>
      <c r="D6" s="102"/>
      <c r="E6" cm="1">
        <f t="array" ref="E6">_xlfn.SWITCH(C12,"12 AWG",12,"16 AWG",16,"20 AWG",20)</f>
        <v>12</v>
      </c>
      <c r="F6" cm="1">
        <f t="array" ref="F6">_xlfn.SWITCH(C11,"55C (Sunlight Exposed)",55,"20C (Underground/Ducted)",20)</f>
        <v>55</v>
      </c>
      <c r="G6" s="21">
        <f>IF(C4&gt;=((C8/MAX(C3/2,C7))^2*H6+C8),H6*0.95,I6*0.95)</f>
        <v>15.432749999999997</v>
      </c>
      <c r="H6" s="20">
        <f>(MAX(C3/2,C7)/C8)*(C3-MAX(C3/2,C7))</f>
        <v>16.244999999999997</v>
      </c>
      <c r="I6" s="20">
        <f>(C3/C4)*(C3-C3*C8/C4)</f>
        <v>16.244999999999997</v>
      </c>
      <c r="J6">
        <f>0.000000017241/(PI()* (0.0635 * 92 ^ ((36 - E6) / 39) * 10 ^ -3) ^ 2)</f>
        <v>5.2106931015047184E-3</v>
      </c>
    </row>
    <row r="7" spans="1:10" x14ac:dyDescent="0.3">
      <c r="A7" s="102"/>
      <c r="B7" s="170" t="str">
        <f>"Min Device Voltage ≤" &amp; C3 &amp; "V"</f>
        <v>Min Device Voltage ≤57V</v>
      </c>
      <c r="C7" s="153">
        <v>10</v>
      </c>
      <c r="D7" s="102"/>
      <c r="E7" s="1"/>
      <c r="F7" s="26" t="s">
        <v>16</v>
      </c>
      <c r="G7" s="22">
        <f>IF(G6&gt;0,0.5 * ($C$3 + SQRT($C$3 ^ 2 -3.99999999 *G6 *C8)),0)</f>
        <v>34.872793887228262</v>
      </c>
      <c r="H7" s="22">
        <f>0.5 * ($C$3 + SQRT($C$3 ^ 2 - 3.99999999 *H6 *C8))</f>
        <v>28.501425000024206</v>
      </c>
      <c r="I7" s="22">
        <f>0.5 * ($C$3 + SQRT($C$3 ^ 2 - 3.99999999 *I6 *C8))</f>
        <v>28.501425000024206</v>
      </c>
    </row>
    <row r="8" spans="1:10" x14ac:dyDescent="0.3">
      <c r="A8" s="102"/>
      <c r="B8" s="95" t="str">
        <f>"Device Power ≤" &amp; C4 &amp; "W"</f>
        <v>Device Power ≤100W</v>
      </c>
      <c r="C8" s="129">
        <v>50</v>
      </c>
      <c r="D8" s="119"/>
      <c r="F8" s="26" t="s">
        <v>17</v>
      </c>
      <c r="G8" s="184">
        <f>IF(G6&gt;0, (C3-G7)/G6,0)</f>
        <v>1.4337824504881984</v>
      </c>
      <c r="H8" s="27">
        <f>(C3-H7)/H6</f>
        <v>1.7542982456125453</v>
      </c>
      <c r="I8" s="27">
        <f>(C3-I7)/I6</f>
        <v>1.7542982456125453</v>
      </c>
    </row>
    <row r="9" spans="1:10" ht="15" thickBot="1" x14ac:dyDescent="0.35">
      <c r="A9" s="102"/>
      <c r="B9" s="102"/>
      <c r="C9" s="102"/>
      <c r="D9" s="102"/>
      <c r="F9" s="26" t="s">
        <v>18</v>
      </c>
      <c r="G9" s="22">
        <f>C3*G8</f>
        <v>81.725599677827304</v>
      </c>
      <c r="H9" s="22">
        <f>C3*H8</f>
        <v>99.99499999991508</v>
      </c>
      <c r="I9" s="22">
        <f>C3*I8</f>
        <v>99.99499999991508</v>
      </c>
    </row>
    <row r="10" spans="1:10" ht="15" thickBot="1" x14ac:dyDescent="0.35">
      <c r="A10" s="102"/>
      <c r="B10" s="208" t="s">
        <v>98</v>
      </c>
      <c r="C10" s="209"/>
      <c r="D10" s="102"/>
      <c r="G10" s="182" t="str">
        <f>IF(C4&gt;=((C8/MAX(C3/2,C7))^2*H6+C8),H10,I10)</f>
        <v>V-Limited</v>
      </c>
      <c r="H10" t="s">
        <v>103</v>
      </c>
      <c r="I10" t="s">
        <v>104</v>
      </c>
    </row>
    <row r="11" spans="1:10" x14ac:dyDescent="0.3">
      <c r="A11" s="102"/>
      <c r="B11" s="120" t="s">
        <v>29</v>
      </c>
      <c r="C11" s="122" t="s">
        <v>19</v>
      </c>
      <c r="D11" s="102"/>
      <c r="E11" s="28"/>
      <c r="F11" s="28" t="s">
        <v>56</v>
      </c>
      <c r="G11" s="28"/>
      <c r="H11" s="28"/>
      <c r="I11" s="28"/>
    </row>
    <row r="12" spans="1:10" ht="15" thickBot="1" x14ac:dyDescent="0.35">
      <c r="A12" s="102"/>
      <c r="B12" s="154" t="s">
        <v>33</v>
      </c>
      <c r="C12" s="155" t="s">
        <v>35</v>
      </c>
      <c r="D12" s="102"/>
      <c r="E12" s="29"/>
      <c r="F12" s="33" t="s">
        <v>53</v>
      </c>
      <c r="G12" s="33" t="s">
        <v>54</v>
      </c>
      <c r="H12" s="33" t="s">
        <v>14</v>
      </c>
      <c r="I12" s="33" t="s">
        <v>57</v>
      </c>
    </row>
    <row r="13" spans="1:10" ht="15" thickTop="1" x14ac:dyDescent="0.3">
      <c r="A13" s="102"/>
      <c r="B13" s="158" t="s">
        <v>31</v>
      </c>
      <c r="C13" s="159">
        <f>ROUND(F18,0)</f>
        <v>1302</v>
      </c>
      <c r="D13" s="102"/>
      <c r="E13" s="29" t="s">
        <v>52</v>
      </c>
      <c r="F13" s="30">
        <f>C3-G7</f>
        <v>22.127206112771738</v>
      </c>
      <c r="G13" s="30">
        <f>G8</f>
        <v>1.4337824504881984</v>
      </c>
      <c r="H13" s="29">
        <f>F13*G13</f>
        <v>31.725599802827304</v>
      </c>
      <c r="I13" s="29"/>
    </row>
    <row r="14" spans="1:10" x14ac:dyDescent="0.3">
      <c r="A14" s="102"/>
      <c r="B14" s="85" t="s">
        <v>32</v>
      </c>
      <c r="C14" s="176">
        <f>ROUND(F19,0)</f>
        <v>4271</v>
      </c>
      <c r="D14" s="102"/>
      <c r="E14" s="31" t="s">
        <v>55</v>
      </c>
      <c r="F14" s="32">
        <f>G7</f>
        <v>34.872793887228262</v>
      </c>
      <c r="G14" s="32">
        <f>G8</f>
        <v>1.4337824504881984</v>
      </c>
      <c r="H14" s="31">
        <f>F14*G14</f>
        <v>49.999999875000007</v>
      </c>
      <c r="I14" s="31">
        <f>H14+H13</f>
        <v>81.725599677827319</v>
      </c>
    </row>
    <row r="15" spans="1:10" ht="15" thickBot="1" x14ac:dyDescent="0.35">
      <c r="A15" s="102"/>
      <c r="B15" s="160" t="s">
        <v>92</v>
      </c>
      <c r="C15" s="177">
        <f>G6</f>
        <v>15.432749999999997</v>
      </c>
      <c r="D15" s="102"/>
      <c r="E15" s="28"/>
      <c r="F15" s="175"/>
      <c r="G15" s="175"/>
      <c r="H15" s="28"/>
      <c r="I15" s="28"/>
    </row>
    <row r="16" spans="1:10" ht="15" thickTop="1" x14ac:dyDescent="0.3">
      <c r="A16" s="102"/>
      <c r="B16" s="113" t="s">
        <v>43</v>
      </c>
      <c r="C16" s="156">
        <f>G7</f>
        <v>34.872793887228262</v>
      </c>
      <c r="D16" s="102"/>
    </row>
    <row r="17" spans="1:11" x14ac:dyDescent="0.3">
      <c r="A17" s="102"/>
      <c r="B17" s="120" t="s">
        <v>37</v>
      </c>
      <c r="C17" s="121">
        <f>G8</f>
        <v>1.4337824504881984</v>
      </c>
      <c r="D17" s="102"/>
      <c r="F17" t="s">
        <v>74</v>
      </c>
    </row>
    <row r="18" spans="1:11" ht="15" thickBot="1" x14ac:dyDescent="0.35">
      <c r="A18" s="102"/>
      <c r="B18" s="100" t="s">
        <v>38</v>
      </c>
      <c r="C18" s="118">
        <f>G9</f>
        <v>81.725599677827304</v>
      </c>
      <c r="D18" s="102"/>
      <c r="F18" s="131">
        <f>2*G6/(4*J6*(1 + 0.00393*(F6-20)))</f>
        <v>1301.809197589233</v>
      </c>
      <c r="G18" s="1"/>
    </row>
    <row r="19" spans="1:11" x14ac:dyDescent="0.3">
      <c r="A19" s="102"/>
      <c r="B19" s="102"/>
      <c r="C19" s="102"/>
      <c r="D19" s="102"/>
      <c r="F19" s="132">
        <f>3.28084 *F18</f>
        <v>4271.0276878186596</v>
      </c>
      <c r="G19" s="35"/>
    </row>
    <row r="20" spans="1:11" x14ac:dyDescent="0.3">
      <c r="A20" s="124"/>
      <c r="B20" s="124"/>
      <c r="C20" s="124"/>
      <c r="D20" s="124"/>
    </row>
    <row r="21" spans="1:11" ht="14.4" customHeight="1" x14ac:dyDescent="0.3">
      <c r="A21" s="147"/>
      <c r="B21" s="214" t="s">
        <v>114</v>
      </c>
      <c r="C21" s="214"/>
      <c r="D21" s="147"/>
    </row>
    <row r="22" spans="1:11" ht="14.4" customHeight="1" thickBot="1" x14ac:dyDescent="0.35">
      <c r="A22" s="147"/>
      <c r="B22" s="215" t="s">
        <v>113</v>
      </c>
      <c r="C22" s="215"/>
      <c r="D22" s="147"/>
    </row>
    <row r="23" spans="1:11" ht="15" thickBot="1" x14ac:dyDescent="0.35">
      <c r="A23" s="147"/>
      <c r="B23" s="208" t="s">
        <v>21</v>
      </c>
      <c r="C23" s="209"/>
      <c r="D23" s="147"/>
    </row>
    <row r="24" spans="1:11" x14ac:dyDescent="0.3">
      <c r="A24" s="147"/>
      <c r="B24" s="111" t="s">
        <v>42</v>
      </c>
      <c r="C24" s="134">
        <v>57</v>
      </c>
      <c r="D24" s="147"/>
      <c r="F24" s="18" t="s">
        <v>13</v>
      </c>
      <c r="G24" s="18" t="s">
        <v>15</v>
      </c>
      <c r="H24" s="18" t="s">
        <v>14</v>
      </c>
      <c r="I24" s="18" t="s">
        <v>99</v>
      </c>
      <c r="J24" s="135" t="s">
        <v>75</v>
      </c>
    </row>
    <row r="25" spans="1:11" ht="15" thickBot="1" x14ac:dyDescent="0.35">
      <c r="A25" s="147"/>
      <c r="B25" s="112" t="s">
        <v>80</v>
      </c>
      <c r="C25" s="133">
        <v>100</v>
      </c>
      <c r="D25" s="147"/>
      <c r="F25" cm="1">
        <f t="array" ref="F25">_xlfn.SWITCH(C29,"12 AWG",12,"16 AWG",16,"20 AWG",20)</f>
        <v>12</v>
      </c>
      <c r="G25" cm="1">
        <f t="array" ref="G25">_xlfn.SWITCH(C28,"55C (Sunlight Exposed)",55,"20C (Underground/Ducted)",20)</f>
        <v>55</v>
      </c>
      <c r="H25">
        <f>0.000000017241/(PI()* (0.0635 * 92 ^ ((36 - F25) / 39) * 10 ^ -3) ^ 2)</f>
        <v>5.2106931015047184E-3</v>
      </c>
      <c r="I25" cm="1">
        <f t="array" ref="I25">_xlfn.SWITCH(C30,"Feet",C31*(2*H25*(1 + 0.00393*(G25-20)))/3.28084,"Meters",C31*(2*H25*(1 + 0.00393*(G25-20))))</f>
        <v>15.435011933553868</v>
      </c>
      <c r="J25">
        <f>I25</f>
        <v>15.435011933553868</v>
      </c>
    </row>
    <row r="26" spans="1:11" ht="15" thickBot="1" x14ac:dyDescent="0.35">
      <c r="A26" s="147"/>
      <c r="B26" s="148"/>
      <c r="C26" s="149"/>
      <c r="D26" s="147"/>
    </row>
    <row r="27" spans="1:11" ht="15" thickBot="1" x14ac:dyDescent="0.35">
      <c r="A27" s="147"/>
      <c r="B27" s="208" t="s">
        <v>98</v>
      </c>
      <c r="C27" s="209"/>
      <c r="D27" s="147"/>
      <c r="G27" s="145" t="s">
        <v>11</v>
      </c>
      <c r="H27" s="145" t="s">
        <v>12</v>
      </c>
      <c r="J27" t="s">
        <v>88</v>
      </c>
    </row>
    <row r="28" spans="1:11" x14ac:dyDescent="0.3">
      <c r="A28" s="147"/>
      <c r="B28" s="120" t="s">
        <v>29</v>
      </c>
      <c r="C28" s="122" t="s">
        <v>19</v>
      </c>
      <c r="D28" s="147"/>
      <c r="G28" t="s">
        <v>84</v>
      </c>
      <c r="H28" t="s">
        <v>85</v>
      </c>
      <c r="I28" s="1" t="s">
        <v>83</v>
      </c>
      <c r="J28" t="s">
        <v>86</v>
      </c>
    </row>
    <row r="29" spans="1:11" x14ac:dyDescent="0.3">
      <c r="A29" s="147"/>
      <c r="B29" s="99" t="s">
        <v>33</v>
      </c>
      <c r="C29" s="123" t="s">
        <v>35</v>
      </c>
      <c r="D29" s="147"/>
      <c r="F29" t="s">
        <v>55</v>
      </c>
      <c r="G29" s="39">
        <f>G30/J25*(C24-G30)</f>
        <v>49.994979163085397</v>
      </c>
      <c r="H29" s="39">
        <f>(C24*C24/C25-J25)*C25*C25/C24/C24</f>
        <v>52.49303806231498</v>
      </c>
      <c r="I29" s="142">
        <f>IF(J25-C24*C24/2/C25&gt;0,G29,H29)</f>
        <v>52.49303806231498</v>
      </c>
      <c r="J29" s="140">
        <f>C34*(C24-C34)/J25</f>
        <v>49.994979163085389</v>
      </c>
      <c r="K29" s="141">
        <f>IF(I30&gt;C34,I29,J29)</f>
        <v>49.994979163085389</v>
      </c>
    </row>
    <row r="30" spans="1:11" x14ac:dyDescent="0.3">
      <c r="A30" s="147"/>
      <c r="B30" s="113" t="s">
        <v>20</v>
      </c>
      <c r="C30" s="117" t="s">
        <v>25</v>
      </c>
      <c r="D30" s="147"/>
      <c r="F30" t="s">
        <v>77</v>
      </c>
      <c r="G30" s="17">
        <f>MAX(C24/2,C34)</f>
        <v>34.869999999999997</v>
      </c>
      <c r="H30" s="39">
        <f>C24 -J25*C25/C24</f>
        <v>29.921031695519527</v>
      </c>
      <c r="I30" s="39">
        <f>IF(J25-C24*C24/2/C25&gt;0,G30,H30)</f>
        <v>29.921031695519527</v>
      </c>
      <c r="J30" s="39">
        <f>0.5 * (C24 + SQRT(C24 ^ 2 - 3.99999999999 *J25 *J29))</f>
        <v>34.870000000151428</v>
      </c>
      <c r="K30" s="39">
        <f>IF(I30&gt;C34,I30,J30)</f>
        <v>34.870000000151428</v>
      </c>
    </row>
    <row r="31" spans="1:11" ht="15" thickBot="1" x14ac:dyDescent="0.35">
      <c r="A31" s="147"/>
      <c r="B31" s="157" t="str">
        <f>"PF Cable Length (" &amp; C30&amp;")"</f>
        <v>PF Cable Length (Meters)</v>
      </c>
      <c r="C31" s="193">
        <v>1302</v>
      </c>
      <c r="D31" s="147"/>
      <c r="G31" s="24"/>
      <c r="H31" s="24"/>
      <c r="K31"/>
    </row>
    <row r="32" spans="1:11" ht="15" thickBot="1" x14ac:dyDescent="0.35">
      <c r="A32" s="147"/>
      <c r="B32" s="147"/>
      <c r="C32" s="147"/>
      <c r="D32" s="147"/>
      <c r="F32" t="s">
        <v>81</v>
      </c>
      <c r="G32" s="39">
        <f>G33*G35</f>
        <v>31.728961539405795</v>
      </c>
      <c r="H32" s="39">
        <f>(C24-H30)/H35</f>
        <v>15.435011933553868</v>
      </c>
      <c r="I32" s="139">
        <f>IF(J25-C24*C24/2/C25&gt;0,G32,H32)</f>
        <v>15.435011933553868</v>
      </c>
      <c r="J32" s="139">
        <f>(C24-J30)*J35</f>
        <v>31.728961538971564</v>
      </c>
      <c r="K32" s="139">
        <f>IF(I30&gt;C34,I32,J32)</f>
        <v>31.728961538971564</v>
      </c>
    </row>
    <row r="33" spans="1:11" ht="15" thickBot="1" x14ac:dyDescent="0.35">
      <c r="A33" s="147"/>
      <c r="B33" s="208" t="s">
        <v>87</v>
      </c>
      <c r="C33" s="210"/>
      <c r="D33" s="147"/>
      <c r="F33" t="s">
        <v>82</v>
      </c>
      <c r="G33" s="17">
        <f>C24-G30</f>
        <v>22.130000000000003</v>
      </c>
      <c r="H33" s="24">
        <f>C24-H30</f>
        <v>27.078968304480473</v>
      </c>
      <c r="I33" s="139">
        <f>IF(J25-C24*C24/2/C25&gt;0,G33,H33)</f>
        <v>27.078968304480473</v>
      </c>
      <c r="J33" s="139">
        <f>C24-J30</f>
        <v>22.129999999848572</v>
      </c>
      <c r="K33" s="139">
        <f>IF(I30&gt;C34,I33,J33)</f>
        <v>22.129999999848572</v>
      </c>
    </row>
    <row r="34" spans="1:11" ht="15" thickBot="1" x14ac:dyDescent="0.35">
      <c r="A34" s="147"/>
      <c r="B34" s="115" t="str">
        <f>"Min Device Voltage ≤" &amp; C24 &amp; "V"</f>
        <v>Min Device Voltage ≤57V</v>
      </c>
      <c r="C34" s="194">
        <v>34.869999999999997</v>
      </c>
      <c r="D34" s="147"/>
      <c r="G34" s="24"/>
      <c r="H34" s="24"/>
      <c r="I34" s="24"/>
      <c r="J34" s="24"/>
      <c r="K34" s="24"/>
    </row>
    <row r="35" spans="1:11" ht="15" thickTop="1" x14ac:dyDescent="0.3">
      <c r="A35" s="147"/>
      <c r="B35" s="137" t="s">
        <v>79</v>
      </c>
      <c r="C35" s="146">
        <f>K30</f>
        <v>34.870000000151428</v>
      </c>
      <c r="D35" s="147"/>
      <c r="F35" t="s">
        <v>76</v>
      </c>
      <c r="G35" s="185">
        <f>G29/G30</f>
        <v>1.4337533456577403</v>
      </c>
      <c r="H35" s="24">
        <f>(C24-H30)/J25</f>
        <v>1.7543859649122808</v>
      </c>
      <c r="I35" s="24">
        <f>IF(J25-C24*C24/2/C25&gt;0,G35,H35)</f>
        <v>1.7543859649122808</v>
      </c>
      <c r="J35" s="24">
        <f>(C24-J30)/J25</f>
        <v>1.4337533456479292</v>
      </c>
      <c r="K35" s="24">
        <f>IF(I30&gt;C34,I35,J35)</f>
        <v>1.4337533456479292</v>
      </c>
    </row>
    <row r="36" spans="1:11" ht="15" thickBot="1" x14ac:dyDescent="0.35">
      <c r="A36" s="147"/>
      <c r="B36" s="138" t="s">
        <v>78</v>
      </c>
      <c r="C36" s="144">
        <f>K29</f>
        <v>49.994979163085389</v>
      </c>
      <c r="D36" s="147"/>
      <c r="F36" t="s">
        <v>18</v>
      </c>
      <c r="G36" s="17">
        <f>C24*G35</f>
        <v>81.723940702491191</v>
      </c>
      <c r="H36" s="17">
        <f>C24*H35</f>
        <v>100</v>
      </c>
      <c r="I36" s="24">
        <f>IF(J25-C24*C24/2/C25&gt;0,G36,H36)</f>
        <v>100</v>
      </c>
      <c r="J36" s="17">
        <f>J35*C24</f>
        <v>81.723940701931966</v>
      </c>
      <c r="K36" s="17">
        <f>IF(I30&gt;C34,I36,J36)</f>
        <v>81.723940701931966</v>
      </c>
    </row>
    <row r="37" spans="1:11" ht="15" thickTop="1" x14ac:dyDescent="0.3">
      <c r="A37" s="147"/>
      <c r="B37" s="180" t="s">
        <v>92</v>
      </c>
      <c r="C37" s="181">
        <f>I25</f>
        <v>15.435011933553868</v>
      </c>
      <c r="D37" s="147"/>
      <c r="G37" s="24" t="s">
        <v>100</v>
      </c>
      <c r="H37" s="24" t="s">
        <v>101</v>
      </c>
      <c r="I37" s="183" t="str">
        <f>IF(J25-C24*C24/2/C25&gt;0,G37,H37)</f>
        <v>P-limited</v>
      </c>
      <c r="J37" s="24" t="s">
        <v>102</v>
      </c>
      <c r="K37" s="183" t="str">
        <f>IF(I31&gt;C35,I37,J37)</f>
        <v>D-limited</v>
      </c>
    </row>
    <row r="38" spans="1:11" ht="15" thickBot="1" x14ac:dyDescent="0.35">
      <c r="A38" s="147"/>
      <c r="B38" s="136" t="s">
        <v>38</v>
      </c>
      <c r="C38" s="143">
        <f>K36</f>
        <v>81.723940701931966</v>
      </c>
      <c r="D38" s="147"/>
    </row>
    <row r="39" spans="1:11" x14ac:dyDescent="0.3">
      <c r="A39" s="147"/>
      <c r="B39" s="147"/>
      <c r="C39" s="147"/>
      <c r="D39" s="147"/>
    </row>
    <row r="40" spans="1:11" x14ac:dyDescent="0.3">
      <c r="H40" s="24"/>
    </row>
    <row r="41" spans="1:11" x14ac:dyDescent="0.3">
      <c r="H41" s="24"/>
    </row>
    <row r="42" spans="1:11" x14ac:dyDescent="0.3">
      <c r="H42" s="24"/>
    </row>
    <row r="43" spans="1:11" x14ac:dyDescent="0.3">
      <c r="H43" s="24"/>
    </row>
    <row r="44" spans="1:11" x14ac:dyDescent="0.3">
      <c r="H44" s="24"/>
    </row>
    <row r="45" spans="1:11" x14ac:dyDescent="0.3">
      <c r="H45" s="24"/>
    </row>
    <row r="46" spans="1:11" x14ac:dyDescent="0.3">
      <c r="H46" s="24"/>
    </row>
    <row r="47" spans="1:11" x14ac:dyDescent="0.3">
      <c r="H47" s="24"/>
    </row>
  </sheetData>
  <sheetProtection selectLockedCells="1"/>
  <mergeCells count="9">
    <mergeCell ref="B27:C27"/>
    <mergeCell ref="B33:C33"/>
    <mergeCell ref="B1:C1"/>
    <mergeCell ref="B2:C2"/>
    <mergeCell ref="B6:C6"/>
    <mergeCell ref="B10:C10"/>
    <mergeCell ref="B21:C21"/>
    <mergeCell ref="B23:C23"/>
    <mergeCell ref="B22:C22"/>
  </mergeCells>
  <conditionalFormatting sqref="C3">
    <cfRule type="cellIs" dxfId="11" priority="11" operator="greaterThan">
      <formula>57</formula>
    </cfRule>
  </conditionalFormatting>
  <conditionalFormatting sqref="C3:C4">
    <cfRule type="cellIs" dxfId="10" priority="10" operator="lessThan">
      <formula>1</formula>
    </cfRule>
  </conditionalFormatting>
  <conditionalFormatting sqref="C4">
    <cfRule type="cellIs" dxfId="9" priority="9" operator="greaterThan">
      <formula>100</formula>
    </cfRule>
  </conditionalFormatting>
  <conditionalFormatting sqref="C7">
    <cfRule type="cellIs" dxfId="8" priority="7" operator="greaterThan">
      <formula>$C$3</formula>
    </cfRule>
  </conditionalFormatting>
  <conditionalFormatting sqref="C8">
    <cfRule type="cellIs" dxfId="7" priority="2" operator="greaterThan">
      <formula>$C$4</formula>
    </cfRule>
  </conditionalFormatting>
  <conditionalFormatting sqref="C13:C14">
    <cfRule type="cellIs" dxfId="6" priority="12" operator="lessThan">
      <formula>1</formula>
    </cfRule>
  </conditionalFormatting>
  <conditionalFormatting sqref="C15:C18">
    <cfRule type="cellIs" dxfId="5" priority="1" operator="lessThan">
      <formula>0.005</formula>
    </cfRule>
  </conditionalFormatting>
  <conditionalFormatting sqref="C24">
    <cfRule type="cellIs" dxfId="4" priority="6" operator="greaterThan">
      <formula>57</formula>
    </cfRule>
  </conditionalFormatting>
  <conditionalFormatting sqref="C24:C25">
    <cfRule type="cellIs" dxfId="3" priority="5" operator="lessThan">
      <formula>1</formula>
    </cfRule>
  </conditionalFormatting>
  <conditionalFormatting sqref="C25">
    <cfRule type="cellIs" dxfId="2" priority="4" operator="greaterThan">
      <formula>100</formula>
    </cfRule>
  </conditionalFormatting>
  <conditionalFormatting sqref="C35:C38">
    <cfRule type="cellIs" dxfId="1" priority="8" operator="lessThan">
      <formula>0.005</formula>
    </cfRule>
  </conditionalFormatting>
  <conditionalFormatting sqref="G36">
    <cfRule type="cellIs" dxfId="0" priority="3" operator="greaterThan">
      <formula>$C$25</formula>
    </cfRule>
  </conditionalFormatting>
  <dataValidations count="4">
    <dataValidation type="list" allowBlank="1" showInputMessage="1" showErrorMessage="1" sqref="C30" xr:uid="{146B1BE1-8878-4C00-90F1-BA419686C04A}">
      <formula1>"Meters, Feet"</formula1>
    </dataValidation>
    <dataValidation type="decimal" allowBlank="1" showErrorMessage="1" error="OUT OF RANGE" sqref="C5 C26" xr:uid="{5CC1F8EB-D062-42F3-9165-9AAC41C5A02D}">
      <formula1>12.9</formula1>
      <formula2>100</formula2>
    </dataValidation>
    <dataValidation type="list" allowBlank="1" showInputMessage="1" showErrorMessage="1" sqref="C12 C29" xr:uid="{5CA7641A-9A72-44D4-8AF8-AD655CD4E0D7}">
      <formula1>"12 AWG,16 AWG"</formula1>
    </dataValidation>
    <dataValidation type="list" allowBlank="1" showInputMessage="1" showErrorMessage="1" sqref="C11 C28" xr:uid="{496E3D0E-D162-4699-A5C9-EE7E660D3885}">
      <formula1>"20C (Underground/Ducted),55C (Sunlight Exposed),"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24</vt:i4>
      </vt:variant>
    </vt:vector>
  </HeadingPairs>
  <TitlesOfParts>
    <vt:vector size="31" baseType="lpstr">
      <vt:lpstr>Instructions</vt:lpstr>
      <vt:lpstr>PFU-P-C-O-090-02</vt:lpstr>
      <vt:lpstr>PFU-P-C-O-060-02</vt:lpstr>
      <vt:lpstr>PFU-P-C-O-060-01</vt:lpstr>
      <vt:lpstr>PFU-48-C-O-060-01</vt:lpstr>
      <vt:lpstr>PFU-12-C-O-060-01</vt:lpstr>
      <vt:lpstr>Powered Fiber Cable</vt:lpstr>
      <vt:lpstr>'PFU-12-C-O-060-01'!PdCabling</vt:lpstr>
      <vt:lpstr>'PFU-48-C-O-060-01'!PdCabling</vt:lpstr>
      <vt:lpstr>'PFU-P-C-O-060-01'!PdCabling</vt:lpstr>
      <vt:lpstr>'PFU-P-C-O-060-02'!PdCabling</vt:lpstr>
      <vt:lpstr>'PFU-P-C-O-090-02'!PdCabling</vt:lpstr>
      <vt:lpstr>'PFU-P-C-O-060-01'!PdClass</vt:lpstr>
      <vt:lpstr>'PFU-P-C-O-060-02'!PdClass</vt:lpstr>
      <vt:lpstr>'PFU-P-C-O-090-02'!PdClass</vt:lpstr>
      <vt:lpstr>'PFU-12-C-O-060-01'!PdLength</vt:lpstr>
      <vt:lpstr>'PFU-48-C-O-060-01'!PdLength</vt:lpstr>
      <vt:lpstr>'PFU-P-C-O-060-01'!PdLength</vt:lpstr>
      <vt:lpstr>'PFU-P-C-O-060-02'!PdLength</vt:lpstr>
      <vt:lpstr>'PFU-P-C-O-090-02'!PdLength</vt:lpstr>
      <vt:lpstr>'PFU-12-C-O-060-01'!PdTemp</vt:lpstr>
      <vt:lpstr>'PFU-48-C-O-060-01'!PdTemp</vt:lpstr>
      <vt:lpstr>'PFU-P-C-O-060-01'!PdTemp</vt:lpstr>
      <vt:lpstr>'PFU-P-C-O-060-02'!PdTemp</vt:lpstr>
      <vt:lpstr>'PFU-P-C-O-090-02'!PdTemp</vt:lpstr>
      <vt:lpstr>'PFU-12-C-O-060-01'!Units</vt:lpstr>
      <vt:lpstr>'PFU-48-C-O-060-01'!Units</vt:lpstr>
      <vt:lpstr>'PFU-P-C-O-060-01'!Units</vt:lpstr>
      <vt:lpstr>'PFU-P-C-O-060-02'!Units</vt:lpstr>
      <vt:lpstr>'PFU-P-C-O-090-02'!Units</vt:lpstr>
      <vt:lpstr>'Powered Fiber Cable'!Units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2025-08-01T14:27:01Z</dcterms:created>
  <dcterms:modified xsi:type="dcterms:W3CDTF">2025-10-12T15:21:52Z</dcterms:modified>
</cp:coreProperties>
</file>